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florinarizoaica1\Documents\SPC chart\"/>
    </mc:Choice>
  </mc:AlternateContent>
  <bookViews>
    <workbookView xWindow="0" yWindow="0" windowWidth="28800" windowHeight="13590" tabRatio="849" activeTab="1"/>
  </bookViews>
  <sheets>
    <sheet name="Intro" sheetId="22" r:id="rId1"/>
    <sheet name="Main" sheetId="3" r:id="rId2"/>
  </sheets>
  <definedNames>
    <definedName name="_Order1" hidden="1">255</definedName>
    <definedName name="_Order2" hidden="1">0</definedName>
    <definedName name="SAPBEXdnldView" hidden="1">"4PZZLDUG0OCNESYS347653S5T"</definedName>
    <definedName name="SAPBEXrevision" hidden="1">1</definedName>
    <definedName name="SAPBEXsysID" hidden="1">"BPR"</definedName>
    <definedName name="SAPBEXwbID" hidden="1">"40WIJK5IFDBLSZ2ESMSW8CYAS"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20" i="3" l="1"/>
  <c r="CC20" i="3"/>
  <c r="CE20" i="3"/>
  <c r="CD14" i="3"/>
  <c r="CE19" i="3" l="1"/>
  <c r="CC19" i="3"/>
  <c r="Q1" i="3" l="1"/>
  <c r="CL19" i="3"/>
  <c r="M19" i="3" l="1"/>
  <c r="BP19" i="3"/>
  <c r="J19" i="3"/>
  <c r="BM19" i="3"/>
  <c r="I19" i="3"/>
  <c r="BL19" i="3" l="1"/>
  <c r="W9" i="3"/>
  <c r="A7" i="3" s="1"/>
  <c r="T6" i="3" l="1"/>
  <c r="T7" i="3"/>
  <c r="T5" i="3"/>
  <c r="T4" i="3"/>
  <c r="T3" i="3"/>
  <c r="T2" i="3"/>
  <c r="T1" i="3"/>
  <c r="A17" i="3" s="1"/>
  <c r="Z3" i="3"/>
  <c r="AA3" i="3" s="1"/>
  <c r="Z5" i="3"/>
  <c r="AA5" i="3" s="1"/>
  <c r="Z2" i="3"/>
  <c r="AA2" i="3" s="1"/>
  <c r="Z4" i="3"/>
  <c r="AA4" i="3" s="1"/>
  <c r="O4" i="3" l="1"/>
  <c r="E20" i="3"/>
  <c r="F20" i="3"/>
  <c r="O10" i="3"/>
  <c r="O9" i="3"/>
  <c r="A15" i="3"/>
  <c r="B17" i="3"/>
  <c r="C17" i="3"/>
  <c r="T8" i="3"/>
  <c r="D17" i="3"/>
  <c r="E19" i="3"/>
  <c r="F19" i="3" s="1"/>
  <c r="K20" i="3" l="1"/>
  <c r="L20" i="3"/>
  <c r="L19" i="3"/>
  <c r="K19" i="3"/>
  <c r="T9" i="3"/>
  <c r="M7" i="3"/>
  <c r="M6" i="3"/>
  <c r="T10" i="3"/>
  <c r="N2" i="3" l="1"/>
  <c r="Z19" i="3"/>
  <c r="AX19" i="3"/>
  <c r="Q8" i="3"/>
  <c r="Q7" i="3" s="1"/>
  <c r="M10" i="3"/>
  <c r="AD6" i="3" s="1"/>
  <c r="O7" i="3"/>
  <c r="M4" i="3"/>
  <c r="AD2" i="3" s="1"/>
  <c r="M5" i="3"/>
  <c r="AD3" i="3" s="1"/>
  <c r="M8" i="3"/>
  <c r="AD4" i="3" s="1"/>
  <c r="M3" i="3"/>
  <c r="AD1" i="3" s="1"/>
  <c r="M9" i="3"/>
  <c r="AD5" i="3" s="1"/>
  <c r="AY19" i="3" l="1"/>
  <c r="AY20" i="3"/>
  <c r="AV19" i="3"/>
  <c r="AV20" i="3"/>
  <c r="CK19" i="3"/>
  <c r="CK20" i="3"/>
  <c r="CL20" i="3" s="1"/>
  <c r="AD7" i="3"/>
  <c r="AU19" i="3"/>
  <c r="O5" i="3"/>
  <c r="C14" i="3"/>
  <c r="O6" i="3"/>
  <c r="H6" i="3"/>
  <c r="O8" i="3"/>
  <c r="Q4" i="3"/>
  <c r="Q5" i="3"/>
  <c r="O3" i="3"/>
  <c r="T11" i="3"/>
  <c r="CJ19" i="3" l="1"/>
  <c r="CI19" i="3"/>
  <c r="CF20" i="3"/>
  <c r="CG20" i="3"/>
  <c r="CF19" i="3"/>
  <c r="CG19" i="3"/>
  <c r="Q6" i="3"/>
  <c r="F4" i="3"/>
  <c r="P19" i="3" l="1"/>
  <c r="N20" i="3"/>
  <c r="AH20" i="3" s="1"/>
  <c r="P20" i="3"/>
  <c r="AG3" i="3"/>
  <c r="AG4" i="3"/>
  <c r="AG1" i="3"/>
  <c r="AG2" i="3"/>
  <c r="Q9" i="3"/>
  <c r="N19" i="3"/>
  <c r="AA19" i="3" l="1"/>
  <c r="AA20" i="3"/>
  <c r="X20" i="3"/>
  <c r="X19" i="3"/>
  <c r="BG19" i="3"/>
  <c r="BG20" i="3"/>
  <c r="BH20" i="3" s="1"/>
  <c r="CP19" i="3"/>
  <c r="CP20" i="3"/>
  <c r="CO19" i="3"/>
  <c r="CO20" i="3"/>
  <c r="AG6" i="3"/>
  <c r="T20" i="3"/>
  <c r="U20" i="3"/>
  <c r="V20" i="3"/>
  <c r="Q20" i="3"/>
  <c r="R20" i="3"/>
  <c r="S20" i="3"/>
  <c r="AE20" i="3"/>
  <c r="AF20" i="3"/>
  <c r="AG20" i="3"/>
  <c r="AI20" i="3"/>
  <c r="AJ20" i="3"/>
  <c r="AK20" i="3"/>
  <c r="AL20" i="3"/>
  <c r="W20" i="3"/>
  <c r="Y20" i="3"/>
  <c r="AB20" i="3"/>
  <c r="AC20" i="3"/>
  <c r="AD20" i="3"/>
  <c r="AG5" i="3"/>
  <c r="AE19" i="3"/>
  <c r="W19" i="3"/>
  <c r="AH19" i="3"/>
  <c r="Z20" i="3" l="1"/>
  <c r="O20" i="3"/>
  <c r="O19" i="3"/>
  <c r="AF19" i="3"/>
  <c r="AG19" i="3" l="1"/>
  <c r="AI19" i="3" l="1"/>
  <c r="AJ19" i="3" l="1"/>
  <c r="Y19" i="3" l="1"/>
  <c r="T19" i="3" l="1"/>
  <c r="V19" i="3" s="1"/>
  <c r="Q19" i="3"/>
  <c r="R19" i="3" s="1"/>
  <c r="AL19" i="3"/>
  <c r="AK19" i="3"/>
  <c r="U19" i="3" l="1"/>
  <c r="S19" i="3"/>
  <c r="AB19" i="3" l="1"/>
  <c r="AD19" i="3"/>
  <c r="AC19" i="3"/>
  <c r="J20" i="3" l="1"/>
  <c r="I20" i="3" l="1"/>
  <c r="BM20" i="3" l="1"/>
  <c r="AM20" i="3"/>
  <c r="AM19" i="3"/>
  <c r="AN20" i="3" l="1"/>
  <c r="AO20" i="3" s="1"/>
  <c r="AN19" i="3"/>
  <c r="AO19" i="3" s="1"/>
  <c r="AQ20" i="3"/>
  <c r="BD20" i="3"/>
  <c r="AQ19" i="3"/>
  <c r="BD19" i="3"/>
  <c r="AP20" i="3" l="1"/>
  <c r="AP19" i="3"/>
  <c r="AT20" i="3"/>
  <c r="AU20" i="3" s="1"/>
  <c r="AT19" i="3"/>
  <c r="AR20" i="3"/>
  <c r="AS19" i="3"/>
  <c r="AR19" i="3"/>
  <c r="AS20" i="3"/>
  <c r="CH20" i="3"/>
  <c r="CM20" i="3" s="1"/>
  <c r="BT20" i="3"/>
  <c r="BT19" i="3"/>
  <c r="BU19" i="3" s="1"/>
  <c r="CH19" i="3"/>
  <c r="CM19" i="3" s="1"/>
  <c r="BL20" i="3"/>
  <c r="BP20" i="3" l="1"/>
  <c r="BN19" i="3"/>
  <c r="BQ19" i="3"/>
  <c r="AW19" i="3" l="1"/>
  <c r="AW20" i="3"/>
  <c r="AX20" i="3" s="1"/>
  <c r="AZ19" i="3" l="1"/>
  <c r="BA19" i="3" s="1"/>
  <c r="AZ20" i="3"/>
  <c r="BA20" i="3" s="1"/>
  <c r="BB20" i="3" l="1"/>
  <c r="BF20" i="3" s="1"/>
  <c r="CI20" i="3" s="1"/>
  <c r="BC20" i="3"/>
  <c r="BE20" i="3"/>
  <c r="BW20" i="3" s="1"/>
  <c r="BB19" i="3"/>
  <c r="BF19" i="3" s="1"/>
  <c r="BC19" i="3"/>
  <c r="BE19" i="3"/>
  <c r="BW19" i="3" s="1"/>
  <c r="BX19" i="3" s="1"/>
  <c r="CJ20" i="3" l="1"/>
  <c r="BI20" i="3"/>
  <c r="BJ20" i="3"/>
  <c r="BH19" i="3"/>
  <c r="BI19" i="3" s="1"/>
  <c r="CA19" i="3" s="1"/>
  <c r="BJ19" i="3"/>
  <c r="BZ19" i="3" l="1"/>
  <c r="CA20" i="3"/>
  <c r="BZ20" i="3" s="1"/>
  <c r="BK19" i="3"/>
  <c r="BK20" i="3"/>
  <c r="BU20" i="3" l="1"/>
  <c r="BV20" i="3" l="1"/>
  <c r="BV19" i="3"/>
  <c r="BX20" i="3"/>
  <c r="BY20" i="3" l="1"/>
  <c r="BY19" i="3"/>
  <c r="BN20" i="3" l="1"/>
  <c r="BO20" i="3" l="1"/>
  <c r="BO19" i="3"/>
  <c r="BQ20" i="3"/>
  <c r="BR20" i="3" l="1"/>
  <c r="BR19" i="3"/>
  <c r="BS19" i="3" l="1"/>
  <c r="BS20" i="3"/>
  <c r="CN20" i="3" l="1"/>
  <c r="CN19" i="3"/>
</calcChain>
</file>

<file path=xl/comments1.xml><?xml version="1.0" encoding="utf-8"?>
<comments xmlns="http://schemas.openxmlformats.org/spreadsheetml/2006/main">
  <authors>
    <author>Florina Rizoaica1</author>
  </authors>
  <commentList>
    <comment ref="S8" authorId="0" shapeId="0">
      <text>
        <r>
          <rPr>
            <b/>
            <sz val="9"/>
            <color indexed="81"/>
            <rFont val="Tahoma"/>
            <family val="2"/>
          </rPr>
          <t>Florina Rizoaica1:</t>
        </r>
        <r>
          <rPr>
            <sz val="9"/>
            <color indexed="81"/>
            <rFont val="Tahoma"/>
            <family val="2"/>
          </rPr>
          <t xml:space="preserve">
Scenario confirmed when My data is completed</t>
        </r>
      </text>
    </comment>
    <comment ref="BZ16" authorId="0" shapeId="0">
      <text>
        <r>
          <rPr>
            <sz val="9"/>
            <color indexed="81"/>
            <rFont val="Tahoma"/>
            <family val="2"/>
          </rPr>
          <t>R1: One value above UCL or below LCL
R2: Two out of three close to UCL or LCL and beyond (values on and above limits included)
R3: Six consecutive values up or down (trend)
R4: Eight consecutive values above or below (same side of) CL
R5: Fifteen consecutive values hugging (close to) CL</t>
        </r>
      </text>
    </comment>
    <comment ref="BM17" authorId="0" shapeId="0">
      <text>
        <r>
          <rPr>
            <b/>
            <sz val="9"/>
            <color indexed="81"/>
            <rFont val="Tahoma"/>
            <family val="2"/>
          </rPr>
          <t>Florina Rizoaica1:</t>
        </r>
        <r>
          <rPr>
            <sz val="9"/>
            <color indexed="81"/>
            <rFont val="Tahoma"/>
            <family val="2"/>
          </rPr>
          <t xml:space="preserve">
v1 Trend breaks at Range change. Default is v2, trend continues.</t>
        </r>
      </text>
    </comment>
  </commentList>
</comments>
</file>

<file path=xl/sharedStrings.xml><?xml version="1.0" encoding="utf-8"?>
<sst xmlns="http://schemas.openxmlformats.org/spreadsheetml/2006/main" count="370" uniqueCount="288">
  <si>
    <t>Mean</t>
  </si>
  <si>
    <t>UCL</t>
  </si>
  <si>
    <t>LCL</t>
  </si>
  <si>
    <t>close to CL</t>
  </si>
  <si>
    <t>15 close CL</t>
  </si>
  <si>
    <t>Pink</t>
  </si>
  <si>
    <t>Data points</t>
  </si>
  <si>
    <t>P Prime Chart</t>
  </si>
  <si>
    <t>Month</t>
  </si>
  <si>
    <t>Numerator</t>
  </si>
  <si>
    <t>Denominator</t>
  </si>
  <si>
    <t>Z Score</t>
  </si>
  <si>
    <t>Sigma Z</t>
  </si>
  <si>
    <t>Recalc</t>
  </si>
  <si>
    <t>an integer without decimal e.g. 9,11,46</t>
  </si>
  <si>
    <t>decimals</t>
  </si>
  <si>
    <t>P Chart</t>
  </si>
  <si>
    <t>U Chart</t>
  </si>
  <si>
    <t>missing</t>
  </si>
  <si>
    <t>missingv</t>
  </si>
  <si>
    <t>Denominator base</t>
  </si>
  <si>
    <t>Sigma</t>
  </si>
  <si>
    <t>C Chart</t>
  </si>
  <si>
    <t>first trend up or down</t>
  </si>
  <si>
    <t>In the Main worksheet you are presented with a selection for the data you intend to use and you will choose the type of Graph.</t>
  </si>
  <si>
    <t>Limitations:</t>
  </si>
  <si>
    <t xml:space="preserve">Graphs provided: P Chart, P Prime Chart, U Chart, C Chart, I Chart, P Funnel, P Prime Funnel and U Funnel. </t>
  </si>
  <si>
    <t>Please note you can download the template for a Run Chart from our Resources Page (nqpsd/QPS-Intelligence)</t>
  </si>
  <si>
    <t xml:space="preserve">This template is not a guide for choosing and reading your charts. </t>
  </si>
  <si>
    <t>This template is an analytic tool for creating your graphs and identifying special cause variation.</t>
  </si>
  <si>
    <t>Provost, L. P., &amp; Murray, S. K. (2011). The health care data guide: learning from data for improvement. John Wiley &amp; Sons.</t>
  </si>
  <si>
    <t>It is advised to use 20-40 data points although the template can accommodate fewer (except for I Chart) or more entries.</t>
  </si>
  <si>
    <t>A few hints are provided below in the section 'What chart'. It is advised you consult the following resource:</t>
  </si>
  <si>
    <t>If you are building your Quality Profile, you can contact us for a clinic using contacts for our webpage.</t>
  </si>
  <si>
    <t>Your data</t>
  </si>
  <si>
    <t>The table provided only has one row, but it expands as you populate your data.</t>
  </si>
  <si>
    <t>You can enter it manually call by cell OR you can copy/paste it in the table.</t>
  </si>
  <si>
    <t>Do not drag/drop any data in the table. Data pasted outside the table cannot be used.</t>
  </si>
  <si>
    <t>Make sure you paste in the cells highlighted in GREEN. Your table should expand with as many rows your data holds.</t>
  </si>
  <si>
    <t>NOTE:</t>
  </si>
  <si>
    <t>Xaxis</t>
  </si>
  <si>
    <t>Example</t>
  </si>
  <si>
    <t>My data:</t>
  </si>
  <si>
    <t>There are a few fail-safes built into the template, but they are minimal. It is up to the user to choose the appropriate Chart type.</t>
  </si>
  <si>
    <t>Rules for special variation used:</t>
  </si>
  <si>
    <t>Error</t>
  </si>
  <si>
    <t>yes</t>
  </si>
  <si>
    <t>In the "My data" section you have to choose the type of values you want to provide. There are 2 different possibilities:</t>
  </si>
  <si>
    <t>Scenario 1: If you have only one value for each row, that is your data point (e.g. number of weekly delayed transfers of care; or a percentage for which you can't access the underlying data used for calculation)</t>
  </si>
  <si>
    <t>Scenario 2: If you have the numerator and the donominator, the data point will be calculated by the template (e.g. you have number of accepted referrals seen in &lt;12weeks AND the total number of accepted referrals for each row)</t>
  </si>
  <si>
    <t>Please provide value:</t>
  </si>
  <si>
    <t>InputDP</t>
  </si>
  <si>
    <t>Factor</t>
  </si>
  <si>
    <t>CalcDP</t>
  </si>
  <si>
    <t>DP</t>
  </si>
  <si>
    <t>Percentage</t>
  </si>
  <si>
    <t>Missing</t>
  </si>
  <si>
    <t>Recalculate</t>
  </si>
  <si>
    <t>Range</t>
  </si>
  <si>
    <t>My Chart:</t>
  </si>
  <si>
    <t>Errors:</t>
  </si>
  <si>
    <t>Data type</t>
  </si>
  <si>
    <t>error count</t>
  </si>
  <si>
    <t>S2 Num and Den</t>
  </si>
  <si>
    <t>S2 factor</t>
  </si>
  <si>
    <t>My (final) data points are</t>
  </si>
  <si>
    <t>Xaxname</t>
  </si>
  <si>
    <t>No data info</t>
  </si>
  <si>
    <t>Use the columns with GREEN titles to input your values:</t>
  </si>
  <si>
    <t>Automated columns</t>
  </si>
  <si>
    <t>Use to alter calculation</t>
  </si>
  <si>
    <t>FYI</t>
  </si>
  <si>
    <t>Yaxname</t>
  </si>
  <si>
    <t>xax values</t>
  </si>
  <si>
    <t>Num</t>
  </si>
  <si>
    <t>DenomBase</t>
  </si>
  <si>
    <t>e.g. Percentage of people &gt;75years admitted or discharged from ED in &lt;6h</t>
  </si>
  <si>
    <t>Rows in main</t>
  </si>
  <si>
    <t>Scenario</t>
  </si>
  <si>
    <t>N&amp;D</t>
  </si>
  <si>
    <t>Message:</t>
  </si>
  <si>
    <t>an integer with one decimals e.g. 5.6,7.4</t>
  </si>
  <si>
    <t>an integer with two decimals e.g. 8.96,11.54</t>
  </si>
  <si>
    <t>percentages without decimals e.g. 70%,96%</t>
  </si>
  <si>
    <t>percentages with two decimals e.g. 46.33%,50.67%</t>
  </si>
  <si>
    <t>percentages with one decimal e.g. 70.5%,59.6%</t>
  </si>
  <si>
    <t>I Chart</t>
  </si>
  <si>
    <t>P Funnel</t>
  </si>
  <si>
    <t>P Prime Funnel</t>
  </si>
  <si>
    <t>U Funnel</t>
  </si>
  <si>
    <t>chart err</t>
  </si>
  <si>
    <t>Mean1</t>
  </si>
  <si>
    <t>These and all following columns are automated until</t>
  </si>
  <si>
    <t>Mean S1</t>
  </si>
  <si>
    <t>Sigma Cchart</t>
  </si>
  <si>
    <t>UCL Cchart</t>
  </si>
  <si>
    <t>LCL Cchart</t>
  </si>
  <si>
    <t>Use Mean</t>
  </si>
  <si>
    <t>Use Sigma</t>
  </si>
  <si>
    <t>Use LCL</t>
  </si>
  <si>
    <t>Use UCL</t>
  </si>
  <si>
    <t>Sigma*</t>
  </si>
  <si>
    <t>decimals used</t>
  </si>
  <si>
    <t>Over limit</t>
  </si>
  <si>
    <t>R1: One value above UCL or below LCL</t>
  </si>
  <si>
    <t>R2: Two out of three close to UCL or LCL and beyond (values on and above limits included)</t>
  </si>
  <si>
    <t>R3: Six consecutive values up or down (trend)</t>
  </si>
  <si>
    <t>R4: Eight consecutive values above or below (same side of) CL</t>
  </si>
  <si>
    <t>R5: Fifteen consecutive values hugging (close to) CL</t>
  </si>
  <si>
    <t>Test R1</t>
  </si>
  <si>
    <t>SC R1</t>
  </si>
  <si>
    <t>Ab/below</t>
  </si>
  <si>
    <t>Over 2Sigma</t>
  </si>
  <si>
    <t>Test R2</t>
  </si>
  <si>
    <t>SC R2</t>
  </si>
  <si>
    <t>2of3 close to limit</t>
  </si>
  <si>
    <t>Step1 R3</t>
  </si>
  <si>
    <t>trend for 6up or down ignoring equal1</t>
  </si>
  <si>
    <t>Step2v1 R3</t>
  </si>
  <si>
    <t>step 2 for 6 up or down v1</t>
  </si>
  <si>
    <t>6up or down v1</t>
  </si>
  <si>
    <t>Step3v1 R3</t>
  </si>
  <si>
    <t>Step4v1 R3</t>
  </si>
  <si>
    <t>Step2v2 R3</t>
  </si>
  <si>
    <t>trend for 6up or down ignoring equal2</t>
  </si>
  <si>
    <t>step 2 for 6 up or down v2</t>
  </si>
  <si>
    <t>6up or down v2</t>
  </si>
  <si>
    <t>Step3v2 R3</t>
  </si>
  <si>
    <t>Step4v2 R3</t>
  </si>
  <si>
    <t>Range change doesn't break Trend 6up/down (default)</t>
  </si>
  <si>
    <t>6up down break</t>
  </si>
  <si>
    <t>final 6 up or down</t>
  </si>
  <si>
    <t>SC R3</t>
  </si>
  <si>
    <t>position vs CL</t>
  </si>
  <si>
    <t>8 above or below CL</t>
  </si>
  <si>
    <t>grouping vs CL</t>
  </si>
  <si>
    <t>Range for limits</t>
  </si>
  <si>
    <t>Step1 R4</t>
  </si>
  <si>
    <t>Step2 R4</t>
  </si>
  <si>
    <t>SC R4</t>
  </si>
  <si>
    <t>Step1 R5</t>
  </si>
  <si>
    <t>Step2 R5</t>
  </si>
  <si>
    <t>15 hugging</t>
  </si>
  <si>
    <t>SC R5</t>
  </si>
  <si>
    <t>extend limits</t>
  </si>
  <si>
    <t>extend after</t>
  </si>
  <si>
    <t>Ext range</t>
  </si>
  <si>
    <t>Table row</t>
  </si>
  <si>
    <t>Ext Mean1</t>
  </si>
  <si>
    <t>Ext M S1</t>
  </si>
  <si>
    <t>LCL*</t>
  </si>
  <si>
    <t>UCL*</t>
  </si>
  <si>
    <t>Sigma Cc for ext</t>
  </si>
  <si>
    <t>Ext LCL Cc</t>
  </si>
  <si>
    <t>Ext UCL Cc</t>
  </si>
  <si>
    <t>SC Final</t>
  </si>
  <si>
    <t>SC test</t>
  </si>
  <si>
    <t>Why SC?</t>
  </si>
  <si>
    <t>DP graph line</t>
  </si>
  <si>
    <t>Graph line</t>
  </si>
  <si>
    <t>DP graph funnel</t>
  </si>
  <si>
    <t>Funnel dots</t>
  </si>
  <si>
    <t>funnel</t>
  </si>
  <si>
    <t>line</t>
  </si>
  <si>
    <t>CL</t>
  </si>
  <si>
    <t>CL graph</t>
  </si>
  <si>
    <t>LCL graph</t>
  </si>
  <si>
    <t>UCL graph</t>
  </si>
  <si>
    <t>Target</t>
  </si>
  <si>
    <t>Add pink</t>
  </si>
  <si>
    <t>Add Pink</t>
  </si>
  <si>
    <t>Manual pink</t>
  </si>
  <si>
    <t>Pink+</t>
  </si>
  <si>
    <t>Add Blue</t>
  </si>
  <si>
    <t>Add blue</t>
  </si>
  <si>
    <t>Blue+</t>
  </si>
  <si>
    <t>Manual blue</t>
  </si>
  <si>
    <t xml:space="preserve"> Mean </t>
  </si>
  <si>
    <t>Last value labels:</t>
  </si>
  <si>
    <t>min for extend</t>
  </si>
  <si>
    <t>Calculated limits and CL (default)</t>
  </si>
  <si>
    <t>colour ext grey at 0</t>
  </si>
  <si>
    <t>Err</t>
  </si>
  <si>
    <t>Targ.</t>
  </si>
  <si>
    <r>
      <t xml:space="preserve">Horizontal Axis 
</t>
    </r>
    <r>
      <rPr>
        <sz val="7"/>
        <color theme="1"/>
        <rFont val="Calibri"/>
        <family val="2"/>
        <scheme val="minor"/>
      </rPr>
      <t>(list or free text):</t>
    </r>
  </si>
  <si>
    <r>
      <t xml:space="preserve">Vertical Axis
</t>
    </r>
    <r>
      <rPr>
        <sz val="7"/>
        <color theme="1"/>
        <rFont val="Calibri"/>
        <family val="2"/>
        <scheme val="minor"/>
      </rPr>
      <t>(list or free text)</t>
    </r>
  </si>
  <si>
    <r>
      <t xml:space="preserve">Chart Title
</t>
    </r>
    <r>
      <rPr>
        <sz val="7"/>
        <color theme="1"/>
        <rFont val="Calibri"/>
        <family val="2"/>
        <scheme val="minor"/>
      </rPr>
      <t>(free text)</t>
    </r>
  </si>
  <si>
    <t>&gt;&gt;Rules</t>
  </si>
  <si>
    <t>C Chart Ext</t>
  </si>
  <si>
    <t>Input:</t>
  </si>
  <si>
    <t>Moving range Ichart</t>
  </si>
  <si>
    <t>Mov Range</t>
  </si>
  <si>
    <t>Ref period</t>
  </si>
  <si>
    <t>AVG MR Ic</t>
  </si>
  <si>
    <t>Average of MR Ichart</t>
  </si>
  <si>
    <t>Upper MR</t>
  </si>
  <si>
    <t>Upper limit of MR Ic</t>
  </si>
  <si>
    <t>Revised MR Ic</t>
  </si>
  <si>
    <t>Revised MR</t>
  </si>
  <si>
    <t>Revised AVG MR</t>
  </si>
  <si>
    <t>Revised Avg MR Ic</t>
  </si>
  <si>
    <t>Sigma Ic</t>
  </si>
  <si>
    <t>LCL Ichart</t>
  </si>
  <si>
    <t>UCL Ichart</t>
  </si>
  <si>
    <t>Mov Range*</t>
  </si>
  <si>
    <t>AVG MR Ic*</t>
  </si>
  <si>
    <t>Upper MR*</t>
  </si>
  <si>
    <t>Revised MR*</t>
  </si>
  <si>
    <t>Revised AVG MR*</t>
  </si>
  <si>
    <t>Mov Range initial Ic Ext</t>
  </si>
  <si>
    <t>AVG MR initial Ic Ext</t>
  </si>
  <si>
    <t>Upper MR initial Ic Ext</t>
  </si>
  <si>
    <t>Revised initial MR Ic Ext</t>
  </si>
  <si>
    <t>Revised AVG MR init Ic Ext</t>
  </si>
  <si>
    <t>Sigma initial Ic Ext</t>
  </si>
  <si>
    <t>LCL initial Ic Ext</t>
  </si>
  <si>
    <t>UCL initial Ic Ext</t>
  </si>
  <si>
    <t>I Chart Ext</t>
  </si>
  <si>
    <t>Scenario 1 - Input Data Points</t>
  </si>
  <si>
    <t>Mean2</t>
  </si>
  <si>
    <t>Mean S2</t>
  </si>
  <si>
    <t>Sigma Uchart</t>
  </si>
  <si>
    <t>LCL Uchart</t>
  </si>
  <si>
    <t>UCL Uchart</t>
  </si>
  <si>
    <t>Sigma Pchart</t>
  </si>
  <si>
    <t>LCL Pchart</t>
  </si>
  <si>
    <t>UCL Pchart</t>
  </si>
  <si>
    <t>Moving Range Pprime</t>
  </si>
  <si>
    <t>MR</t>
  </si>
  <si>
    <t>Average Mov Range Pprime</t>
  </si>
  <si>
    <t>AVG MR</t>
  </si>
  <si>
    <t>Upper limit of MR Pprime</t>
  </si>
  <si>
    <t>Revised MR Pprime</t>
  </si>
  <si>
    <t>Revised AVG MR Pprime</t>
  </si>
  <si>
    <t>Sigma*SZ Pprime</t>
  </si>
  <si>
    <t>SigmaZ Pprime</t>
  </si>
  <si>
    <t>Sigma*Sigma Z</t>
  </si>
  <si>
    <t>LCL Pprime</t>
  </si>
  <si>
    <t>UCL Pprime</t>
  </si>
  <si>
    <t>Scenario 2 - Input Numerator and Denominator (and if the case, Factor as well)</t>
  </si>
  <si>
    <t>Scenario 2 active</t>
  </si>
  <si>
    <t>use Mean1</t>
  </si>
  <si>
    <t>sum1 ext</t>
  </si>
  <si>
    <t>scenarios</t>
  </si>
  <si>
    <r>
      <t>Please read</t>
    </r>
    <r>
      <rPr>
        <b/>
        <sz val="11"/>
        <color rgb="FF00B050"/>
        <rFont val="Calibri"/>
        <family val="2"/>
        <scheme val="minor"/>
      </rPr>
      <t xml:space="preserve"> Intro worksheet</t>
    </r>
    <r>
      <rPr>
        <sz val="11"/>
        <color theme="1"/>
        <rFont val="Calibri"/>
        <family val="2"/>
        <scheme val="minor"/>
      </rPr>
      <t xml:space="preserve"> before you begin.</t>
    </r>
  </si>
  <si>
    <t>Copy format:</t>
  </si>
  <si>
    <t>Data Points</t>
  </si>
  <si>
    <t>ExtLCL</t>
  </si>
  <si>
    <t>ExtUCL</t>
  </si>
  <si>
    <t xml:space="preserve"> + lines Ext</t>
  </si>
  <si>
    <t xml:space="preserve">Missing points should be avoided. Trend of 6 breaks over missing points and I chart and P Prime can't ignore missing points. </t>
  </si>
  <si>
    <t>Workaroud for missing points possible by calculating without them and freezing the results.</t>
  </si>
  <si>
    <t xml:space="preserve">In the My Chart section you have to choose the chart you will use. </t>
  </si>
  <si>
    <t xml:space="preserve">Important: The template offers no guidance in choosing your graph. This is outside the scope of this template. </t>
  </si>
  <si>
    <t>If you have the data points only, you can use C Chart or I Chart.</t>
  </si>
  <si>
    <t>If you have a numerator and a denominator, you can use all charts bar C Chart and I Chart.</t>
  </si>
  <si>
    <t>A few suggestions you may consider:</t>
  </si>
  <si>
    <t>Use C Chart for number of units (number of DTC, number of patients in ICU)</t>
  </si>
  <si>
    <t>Use I Chart for continous data (e.g. percentages)</t>
  </si>
  <si>
    <t>Use P Charts when Numerator is part of Denominator; P Prime may be more sensitive when Denominator&gt;100*Numerator</t>
  </si>
  <si>
    <t>Use U Chart when Numerator is not part of Denominator</t>
  </si>
  <si>
    <t>Default values and options</t>
  </si>
  <si>
    <t>5. Default: Horizontal axis=month, vertical=percentage, title=demo text. Please change as needed. You can use the list values or your own text. If the text box provided is not empty, it will be used instead of your selection from list.</t>
  </si>
  <si>
    <t>11. Cell turns green when graph can be calculated.</t>
  </si>
  <si>
    <t>Please note template is completely editable. Columns K:BY are hidden for ease of presentation and because they are calculated columns that don't require user input.</t>
  </si>
  <si>
    <t>Rate base:</t>
  </si>
  <si>
    <t>Rate base as above</t>
  </si>
  <si>
    <r>
      <t xml:space="preserve">Format </t>
    </r>
    <r>
      <rPr>
        <sz val="11"/>
        <color theme="0"/>
        <rFont val="Wingdings"/>
        <charset val="2"/>
      </rPr>
      <t>â</t>
    </r>
  </si>
  <si>
    <t>1. Default: no selection. Please select according to your data. See section My data above</t>
  </si>
  <si>
    <t>2. Default 10,000. Change this as you need. This cell cannot be empty if 'Rate base' is yes.</t>
  </si>
  <si>
    <t>3. Default: no selection. Please select your chart. Se section My Chart above.</t>
  </si>
  <si>
    <t>4. Default: percentages without decimals. Please change it according to your data as it will affect calculations</t>
  </si>
  <si>
    <t>6. Default: 2(to facilitate formatting). If no target, delete the vlaue. If you have a target, input your value.</t>
  </si>
  <si>
    <r>
      <t xml:space="preserve">7. Default column names: Target and Mean. Change the text in the cell highlighted </t>
    </r>
    <r>
      <rPr>
        <b/>
        <sz val="10"/>
        <color rgb="FF00FFCC"/>
        <rFont val="Calibri"/>
        <family val="2"/>
        <scheme val="minor"/>
      </rPr>
      <t>Teal</t>
    </r>
    <r>
      <rPr>
        <sz val="10"/>
        <color theme="1"/>
        <rFont val="Calibri"/>
        <family val="2"/>
        <scheme val="minor"/>
      </rPr>
      <t xml:space="preserve"> as you want it to be displayed on graph</t>
    </r>
  </si>
  <si>
    <t>8. Use the quick format to change how yout target value and Mean value are displayed. The values displayed on the graph are on the last row of the table.</t>
  </si>
  <si>
    <t>9. Use quick format to change values under LCL column; this will be reflected in your values axis (vertical axis).</t>
  </si>
  <si>
    <t>10. Graphs are red until My data/ My chart and sufficient data points. Graphs are identical, except the second has X Axis legend and graph title.</t>
  </si>
  <si>
    <t>13. Advanced features. Not recommended unless very familiar with the SPC charts included</t>
  </si>
  <si>
    <t>12. Advanced features marked with Light blue top line are addressed in a second video. Use conservatively.</t>
  </si>
  <si>
    <t>14. FYI the points calculated as Special Cause are highlighted in pink; 'Why SC?' column lists the rules that qualified the points. A comment in the '&gt;&gt;Rules' cell displays all rules as they are listed here in Intro in the section Rules above.</t>
  </si>
  <si>
    <t>15. Do not change automated columns.</t>
  </si>
  <si>
    <t>Please provide Rate base value:</t>
  </si>
  <si>
    <t>In some cases you may have an additional rate base for your denominator (e.g. numerator=number of Staf A. infections in month, denominator=BDU, calculation is Staf A./10,000 BDU). It is advised you record the full value for denominator AND the rate base.</t>
  </si>
  <si>
    <t>Troubleshooting</t>
  </si>
  <si>
    <t>If your graph looks squished after pasting the data</t>
  </si>
  <si>
    <t>rigt-click on the horizontal axis</t>
  </si>
  <si>
    <t>Choose Format Axis and in the format axis tab choose:</t>
  </si>
  <si>
    <t>Automatically select based on data to reset the layout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</si>
</sst>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0"/>
    <numFmt numFmtId="165" formatCode="_-* #,##0_-;\-* #,##0_-;_-* &quot;-&quot;??_-;_-@_-"/>
    <numFmt numFmtId="166" formatCode="0.0%"/>
    <numFmt numFmtId="167" formatCode="#,##0.0"/>
    <numFmt numFmtId="168" formatCode="mmm\-yyyy"/>
    <numFmt numFmtId="169" formatCode="mmmm\ yyyy"/>
  </numFmts>
  <fonts count="47"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name val="Arial"/>
      <family val="2"/>
    </font>
    <font>
      <sz val="10"/>
      <color theme="1"/>
      <name val="Calibri"/>
      <family val="2"/>
      <scheme val="minor"/>
    </font>
    <font>
      <sz val="10"/>
      <name val="Verdana"/>
      <family val="2"/>
    </font>
    <font>
      <b/>
      <sz val="9"/>
      <color indexed="81"/>
      <name val="Tahoma"/>
      <family val="2"/>
    </font>
    <font>
      <sz val="9"/>
      <color indexed="81"/>
      <name val="Tahoma"/>
      <family val="2"/>
    </font>
    <font>
      <b/>
      <sz val="11"/>
      <color theme="0"/>
      <name val="Calibri"/>
      <family val="2"/>
      <scheme val="minor"/>
    </font>
    <font>
      <i/>
      <sz val="10"/>
      <color theme="1"/>
      <name val="Calibri"/>
      <family val="2"/>
      <scheme val="minor"/>
    </font>
    <font>
      <sz val="10"/>
      <color theme="0" tint="-4.9989318521683403E-2"/>
      <name val="Calibri"/>
      <family val="2"/>
      <scheme val="minor"/>
    </font>
    <font>
      <sz val="11"/>
      <color rgb="FFC00000"/>
      <name val="Calibri"/>
      <family val="2"/>
      <scheme val="minor"/>
    </font>
    <font>
      <sz val="11"/>
      <color theme="0"/>
      <name val="Calibri"/>
      <family val="2"/>
      <scheme val="minor"/>
    </font>
    <font>
      <sz val="9"/>
      <color theme="1"/>
      <name val="Calibri"/>
      <family val="2"/>
      <scheme val="minor"/>
    </font>
    <font>
      <sz val="8"/>
      <color theme="1"/>
      <name val="Calibri"/>
      <family val="2"/>
      <scheme val="minor"/>
    </font>
    <font>
      <sz val="8"/>
      <color theme="0" tint="-0.14999847407452621"/>
      <name val="Calibri"/>
      <family val="2"/>
      <scheme val="minor"/>
    </font>
    <font>
      <b/>
      <sz val="11"/>
      <color rgb="FF00B050"/>
      <name val="Calibri"/>
      <family val="2"/>
      <scheme val="minor"/>
    </font>
    <font>
      <sz val="8"/>
      <color theme="8" tint="-0.249977111117893"/>
      <name val="Calibri"/>
      <family val="2"/>
      <scheme val="minor"/>
    </font>
    <font>
      <b/>
      <sz val="8"/>
      <color theme="0"/>
      <name val="Calibri"/>
      <family val="2"/>
      <scheme val="minor"/>
    </font>
    <font>
      <sz val="7"/>
      <color theme="1"/>
      <name val="Calibri"/>
      <family val="2"/>
      <scheme val="minor"/>
    </font>
    <font>
      <b/>
      <sz val="11"/>
      <name val="Calibri"/>
      <family val="2"/>
      <scheme val="minor"/>
    </font>
    <font>
      <sz val="8"/>
      <color theme="0"/>
      <name val="Calibri"/>
      <family val="2"/>
      <scheme val="minor"/>
    </font>
    <font>
      <b/>
      <sz val="9"/>
      <color rgb="FFFF33CC"/>
      <name val="Calibri"/>
      <family val="2"/>
      <scheme val="minor"/>
    </font>
    <font>
      <b/>
      <sz val="9"/>
      <name val="Calibri"/>
      <family val="2"/>
      <scheme val="minor"/>
    </font>
    <font>
      <b/>
      <sz val="9"/>
      <color rgb="FF002060"/>
      <name val="Calibri"/>
      <family val="2"/>
      <scheme val="minor"/>
    </font>
    <font>
      <sz val="8"/>
      <color theme="0" tint="-4.9989318521683403E-2"/>
      <name val="Calibri"/>
      <family val="2"/>
      <scheme val="minor"/>
    </font>
    <font>
      <sz val="10"/>
      <color theme="0"/>
      <name val="Calibri"/>
      <family val="2"/>
      <scheme val="minor"/>
    </font>
    <font>
      <sz val="10"/>
      <color theme="0" tint="-0.14999847407452621"/>
      <name val="Calibri"/>
      <family val="2"/>
      <scheme val="minor"/>
    </font>
    <font>
      <u/>
      <sz val="11"/>
      <color theme="10"/>
      <name val="Calibri"/>
      <family val="2"/>
      <scheme val="minor"/>
    </font>
    <font>
      <sz val="11"/>
      <color theme="9"/>
      <name val="Calibri"/>
      <family val="2"/>
      <scheme val="minor"/>
    </font>
    <font>
      <sz val="11"/>
      <color theme="5" tint="-0.249977111117893"/>
      <name val="Calibri"/>
      <family val="2"/>
      <scheme val="minor"/>
    </font>
    <font>
      <sz val="10"/>
      <color theme="5" tint="-0.249977111117893"/>
      <name val="Calibri"/>
      <family val="2"/>
      <scheme val="minor"/>
    </font>
    <font>
      <sz val="9"/>
      <color theme="5" tint="-0.249977111117893"/>
      <name val="Calibri"/>
      <family val="2"/>
      <scheme val="minor"/>
    </font>
    <font>
      <sz val="8"/>
      <color theme="5" tint="-0.249977111117893"/>
      <name val="Calibri"/>
      <family val="2"/>
      <scheme val="minor"/>
    </font>
    <font>
      <sz val="8"/>
      <name val="Calibri"/>
      <family val="2"/>
      <scheme val="minor"/>
    </font>
    <font>
      <sz val="11"/>
      <name val="Calibri"/>
      <family val="2"/>
      <scheme val="minor"/>
    </font>
    <font>
      <sz val="9"/>
      <name val="Calibri"/>
      <family val="2"/>
      <scheme val="minor"/>
    </font>
    <font>
      <sz val="11"/>
      <color rgb="FF63A0D7"/>
      <name val="Calibri"/>
      <family val="2"/>
      <scheme val="minor"/>
    </font>
    <font>
      <b/>
      <sz val="8"/>
      <color rgb="FF63A0D7"/>
      <name val="Calibri"/>
      <family val="2"/>
      <scheme val="minor"/>
    </font>
    <font>
      <b/>
      <sz val="10"/>
      <color rgb="FF63A0D7"/>
      <name val="Calibri"/>
      <family val="2"/>
      <scheme val="minor"/>
    </font>
    <font>
      <i/>
      <sz val="11"/>
      <color theme="1"/>
      <name val="Calibri"/>
      <family val="2"/>
      <scheme val="minor"/>
    </font>
    <font>
      <i/>
      <sz val="8"/>
      <color theme="1"/>
      <name val="Calibri"/>
      <family val="2"/>
      <scheme val="minor"/>
    </font>
    <font>
      <sz val="11"/>
      <color theme="0"/>
      <name val="Wingdings"/>
      <charset val="2"/>
    </font>
    <font>
      <b/>
      <sz val="10"/>
      <color rgb="FF00FFCC"/>
      <name val="Calibri"/>
      <family val="2"/>
      <scheme val="minor"/>
    </font>
    <font>
      <b/>
      <sz val="11"/>
      <color theme="5" tint="-0.249977111117893"/>
      <name val="Calibri"/>
      <family val="2"/>
      <scheme val="minor"/>
    </font>
    <font>
      <sz val="9"/>
      <color theme="1"/>
      <name val="Arial Narrow"/>
      <family val="2"/>
    </font>
  </fonts>
  <fills count="27">
    <fill>
      <patternFill patternType="none"/>
    </fill>
    <fill>
      <patternFill patternType="gray125"/>
    </fill>
    <fill>
      <patternFill patternType="solid">
        <fgColor theme="0" tint="-4.9989318521683403E-2"/>
        <bgColor indexed="64"/>
      </patternFill>
    </fill>
    <fill>
      <patternFill patternType="solid">
        <fgColor rgb="FFFF33CC"/>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5D5D"/>
        <bgColor indexed="64"/>
      </patternFill>
    </fill>
    <fill>
      <patternFill patternType="solid">
        <fgColor theme="0" tint="-0.14999847407452621"/>
        <bgColor indexed="64"/>
      </patternFill>
    </fill>
    <fill>
      <patternFill patternType="solid">
        <fgColor rgb="FFCCCCFF"/>
        <bgColor indexed="64"/>
      </patternFill>
    </fill>
    <fill>
      <patternFill patternType="solid">
        <fgColor theme="8" tint="-0.499984740745262"/>
        <bgColor indexed="64"/>
      </patternFill>
    </fill>
    <fill>
      <patternFill patternType="solid">
        <fgColor theme="9" tint="-0.499984740745262"/>
        <bgColor indexed="64"/>
      </patternFill>
    </fill>
    <fill>
      <patternFill patternType="solid">
        <fgColor theme="7" tint="0.59999389629810485"/>
        <bgColor indexed="64"/>
      </patternFill>
    </fill>
    <fill>
      <patternFill patternType="solid">
        <fgColor rgb="FF00FFCC"/>
        <bgColor indexed="64"/>
      </patternFill>
    </fill>
    <fill>
      <patternFill patternType="solid">
        <fgColor rgb="FFCCFF99"/>
        <bgColor indexed="64"/>
      </patternFill>
    </fill>
    <fill>
      <patternFill patternType="solid">
        <fgColor theme="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rgb="FF898989"/>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tint="0.79998168889431442"/>
        <bgColor indexed="64"/>
      </patternFill>
    </fill>
  </fills>
  <borders count="79">
    <border>
      <left/>
      <right/>
      <top/>
      <bottom/>
      <diagonal/>
    </border>
    <border>
      <left/>
      <right/>
      <top style="thin">
        <color indexed="64"/>
      </top>
      <bottom style="thin">
        <color indexed="64"/>
      </bottom>
      <diagonal/>
    </border>
    <border>
      <left style="thick">
        <color rgb="FFFFC000"/>
      </left>
      <right/>
      <top style="thick">
        <color rgb="FFFFC000"/>
      </top>
      <bottom/>
      <diagonal/>
    </border>
    <border>
      <left/>
      <right/>
      <top style="thick">
        <color rgb="FFFFC000"/>
      </top>
      <bottom/>
      <diagonal/>
    </border>
    <border>
      <left/>
      <right style="thick">
        <color rgb="FFFFC000"/>
      </right>
      <top style="thick">
        <color rgb="FFFFC000"/>
      </top>
      <bottom/>
      <diagonal/>
    </border>
    <border>
      <left style="thick">
        <color rgb="FFFFC000"/>
      </left>
      <right/>
      <top/>
      <bottom/>
      <diagonal/>
    </border>
    <border>
      <left/>
      <right style="thick">
        <color rgb="FFFFC000"/>
      </right>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style="thick">
        <color rgb="FFFF33CC"/>
      </left>
      <right/>
      <top style="thick">
        <color rgb="FFFF33CC"/>
      </top>
      <bottom/>
      <diagonal/>
    </border>
    <border>
      <left/>
      <right/>
      <top style="thick">
        <color rgb="FFFF33CC"/>
      </top>
      <bottom/>
      <diagonal/>
    </border>
    <border>
      <left/>
      <right style="thick">
        <color rgb="FFFF33CC"/>
      </right>
      <top style="thick">
        <color rgb="FFFF33CC"/>
      </top>
      <bottom/>
      <diagonal/>
    </border>
    <border>
      <left style="thick">
        <color rgb="FFFF33CC"/>
      </left>
      <right/>
      <top/>
      <bottom/>
      <diagonal/>
    </border>
    <border>
      <left/>
      <right style="thick">
        <color rgb="FFFF33CC"/>
      </right>
      <top/>
      <bottom/>
      <diagonal/>
    </border>
    <border>
      <left style="thick">
        <color rgb="FFFF33CC"/>
      </left>
      <right/>
      <top/>
      <bottom style="thick">
        <color rgb="FFFF33CC"/>
      </bottom>
      <diagonal/>
    </border>
    <border>
      <left/>
      <right/>
      <top/>
      <bottom style="thick">
        <color rgb="FFFF33CC"/>
      </bottom>
      <diagonal/>
    </border>
    <border>
      <left/>
      <right style="thick">
        <color rgb="FFFF33CC"/>
      </right>
      <top/>
      <bottom style="thick">
        <color rgb="FFFF33CC"/>
      </bottom>
      <diagonal/>
    </border>
    <border>
      <left/>
      <right/>
      <top style="thick">
        <color theme="0"/>
      </top>
      <bottom/>
      <diagonal/>
    </border>
    <border>
      <left/>
      <right/>
      <top/>
      <bottom style="thick">
        <color theme="0"/>
      </bottom>
      <diagonal/>
    </border>
    <border>
      <left/>
      <right style="thick">
        <color theme="0"/>
      </right>
      <top style="thick">
        <color theme="0"/>
      </top>
      <bottom/>
      <diagonal/>
    </border>
    <border>
      <left style="thick">
        <color theme="0"/>
      </left>
      <right/>
      <top style="thick">
        <color theme="0"/>
      </top>
      <bottom/>
      <diagonal/>
    </border>
    <border>
      <left/>
      <right style="thick">
        <color theme="0"/>
      </right>
      <top/>
      <bottom style="thick">
        <color theme="0"/>
      </bottom>
      <diagonal/>
    </border>
    <border>
      <left style="thick">
        <color theme="0"/>
      </left>
      <right/>
      <top/>
      <bottom style="thick">
        <color theme="0"/>
      </bottom>
      <diagonal/>
    </border>
    <border>
      <left style="thick">
        <color rgb="FF92D050"/>
      </left>
      <right/>
      <top style="thick">
        <color rgb="FF92D050"/>
      </top>
      <bottom/>
      <diagonal/>
    </border>
    <border>
      <left/>
      <right/>
      <top style="thick">
        <color rgb="FF92D050"/>
      </top>
      <bottom/>
      <diagonal/>
    </border>
    <border>
      <left/>
      <right/>
      <top/>
      <bottom style="thick">
        <color rgb="FF92D050"/>
      </bottom>
      <diagonal/>
    </border>
    <border>
      <left/>
      <right/>
      <top style="medium">
        <color rgb="FF7030A0"/>
      </top>
      <bottom/>
      <diagonal/>
    </border>
    <border>
      <left/>
      <right style="thick">
        <color theme="0"/>
      </right>
      <top style="medium">
        <color rgb="FF7030A0"/>
      </top>
      <bottom/>
      <diagonal/>
    </border>
    <border>
      <left style="thick">
        <color theme="0"/>
      </left>
      <right/>
      <top style="medium">
        <color rgb="FF7030A0"/>
      </top>
      <bottom/>
      <diagonal/>
    </border>
    <border>
      <left/>
      <right style="medium">
        <color rgb="FF7030A0"/>
      </right>
      <top style="medium">
        <color rgb="FF7030A0"/>
      </top>
      <bottom/>
      <diagonal/>
    </border>
    <border>
      <left/>
      <right style="medium">
        <color rgb="FF7030A0"/>
      </right>
      <top/>
      <bottom style="thick">
        <color theme="0"/>
      </bottom>
      <diagonal/>
    </border>
    <border>
      <left/>
      <right style="medium">
        <color rgb="FF7030A0"/>
      </right>
      <top style="thick">
        <color theme="0"/>
      </top>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style="medium">
        <color rgb="FF7030A0"/>
      </top>
      <bottom style="thin">
        <color rgb="FFCCCCFF"/>
      </bottom>
      <diagonal/>
    </border>
    <border>
      <left/>
      <right/>
      <top style="medium">
        <color rgb="FF7030A0"/>
      </top>
      <bottom style="thin">
        <color rgb="FFCCCCFF"/>
      </bottom>
      <diagonal/>
    </border>
    <border>
      <left style="medium">
        <color rgb="FF7030A0"/>
      </left>
      <right/>
      <top style="thin">
        <color rgb="FFCCCCFF"/>
      </top>
      <bottom style="thin">
        <color rgb="FFCCCCFF"/>
      </bottom>
      <diagonal/>
    </border>
    <border>
      <left/>
      <right/>
      <top style="thin">
        <color rgb="FFCCCCFF"/>
      </top>
      <bottom style="thin">
        <color rgb="FFCCCCFF"/>
      </bottom>
      <diagonal/>
    </border>
    <border>
      <left style="medium">
        <color rgb="FF7030A0"/>
      </left>
      <right/>
      <top style="thin">
        <color rgb="FFCCCCFF"/>
      </top>
      <bottom style="medium">
        <color rgb="FF7030A0"/>
      </bottom>
      <diagonal/>
    </border>
    <border>
      <left/>
      <right/>
      <top style="thin">
        <color rgb="FFCCCCFF"/>
      </top>
      <bottom style="medium">
        <color rgb="FF7030A0"/>
      </bottom>
      <diagonal/>
    </border>
    <border>
      <left style="thick">
        <color rgb="FF92D05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ck">
        <color rgb="FF92D050"/>
      </left>
      <right style="thin">
        <color theme="0" tint="-0.24994659260841701"/>
      </right>
      <top/>
      <bottom style="thick">
        <color rgb="FF92D050"/>
      </bottom>
      <diagonal/>
    </border>
    <border>
      <left style="thin">
        <color theme="0" tint="-0.24994659260841701"/>
      </left>
      <right style="thin">
        <color theme="0" tint="-0.24994659260841701"/>
      </right>
      <top/>
      <bottom style="thick">
        <color rgb="FF92D050"/>
      </bottom>
      <diagonal/>
    </border>
    <border>
      <left style="thin">
        <color theme="0" tint="-0.24994659260841701"/>
      </left>
      <right/>
      <top/>
      <bottom style="thick">
        <color rgb="FF92D050"/>
      </bottom>
      <diagonal/>
    </border>
    <border>
      <left/>
      <right/>
      <top/>
      <bottom style="medium">
        <color rgb="FF92D050"/>
      </bottom>
      <diagonal/>
    </border>
    <border>
      <left style="thick">
        <color theme="9" tint="-0.499984740745262"/>
      </left>
      <right/>
      <top style="thick">
        <color theme="9" tint="-0.499984740745262"/>
      </top>
      <bottom/>
      <diagonal/>
    </border>
    <border>
      <left/>
      <right/>
      <top style="thick">
        <color theme="9" tint="-0.499984740745262"/>
      </top>
      <bottom/>
      <diagonal/>
    </border>
    <border>
      <left/>
      <right style="thick">
        <color theme="9" tint="-0.499984740745262"/>
      </right>
      <top style="thick">
        <color theme="9" tint="-0.499984740745262"/>
      </top>
      <bottom/>
      <diagonal/>
    </border>
    <border>
      <left style="thick">
        <color theme="9" tint="-0.499984740745262"/>
      </left>
      <right/>
      <top/>
      <bottom/>
      <diagonal/>
    </border>
    <border>
      <left/>
      <right style="thick">
        <color theme="9" tint="-0.499984740745262"/>
      </right>
      <top/>
      <bottom/>
      <diagonal/>
    </border>
    <border>
      <left style="thick">
        <color theme="9" tint="-0.499984740745262"/>
      </left>
      <right/>
      <top/>
      <bottom style="thick">
        <color theme="9" tint="-0.499984740745262"/>
      </bottom>
      <diagonal/>
    </border>
    <border>
      <left/>
      <right/>
      <top/>
      <bottom style="thick">
        <color theme="9" tint="-0.499984740745262"/>
      </bottom>
      <diagonal/>
    </border>
    <border>
      <left/>
      <right style="thick">
        <color theme="9" tint="-0.499984740745262"/>
      </right>
      <top/>
      <bottom style="thick">
        <color theme="9"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FF33CC"/>
      </left>
      <right style="thin">
        <color rgb="FFFF33CC"/>
      </right>
      <top style="thin">
        <color rgb="FFFF33CC"/>
      </top>
      <bottom style="thin">
        <color rgb="FFFF33CC"/>
      </bottom>
      <diagonal/>
    </border>
    <border>
      <left style="thin">
        <color rgb="FF002060"/>
      </left>
      <right style="thin">
        <color rgb="FF002060"/>
      </right>
      <top style="thin">
        <color rgb="FF002060"/>
      </top>
      <bottom style="thin">
        <color rgb="FF002060"/>
      </bottom>
      <diagonal/>
    </border>
    <border>
      <left style="medium">
        <color theme="9"/>
      </left>
      <right style="medium">
        <color theme="9"/>
      </right>
      <top/>
      <bottom/>
      <diagonal/>
    </border>
    <border>
      <left style="thin">
        <color indexed="64"/>
      </left>
      <right/>
      <top/>
      <bottom/>
      <diagonal/>
    </border>
    <border>
      <left/>
      <right/>
      <top style="thick">
        <color rgb="FF00B0F0"/>
      </top>
      <bottom/>
      <diagonal/>
    </border>
    <border>
      <left/>
      <right/>
      <top style="thick">
        <color rgb="FF00FF0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medium">
        <color rgb="FF92D050"/>
      </bottom>
      <diagonal/>
    </border>
    <border>
      <left/>
      <right style="thick">
        <color rgb="FF92D050"/>
      </right>
      <top/>
      <bottom style="medium">
        <color rgb="FF92D050"/>
      </bottom>
      <diagonal/>
    </border>
    <border>
      <left style="thick">
        <color rgb="FF92D050"/>
      </left>
      <right/>
      <top/>
      <bottom style="thick">
        <color rgb="FF92D050"/>
      </bottom>
      <diagonal/>
    </border>
    <border>
      <left/>
      <right style="thick">
        <color rgb="FF92D050"/>
      </right>
      <top/>
      <bottom style="thick">
        <color rgb="FF92D05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s>
  <cellStyleXfs count="5">
    <xf numFmtId="0" fontId="0" fillId="0" borderId="0"/>
    <xf numFmtId="43" fontId="1" fillId="0" borderId="0" applyFont="0" applyFill="0" applyBorder="0" applyAlignment="0" applyProtection="0"/>
    <xf numFmtId="0" fontId="4" fillId="0" borderId="0"/>
    <xf numFmtId="9" fontId="6" fillId="0" borderId="0" applyFont="0" applyFill="0" applyBorder="0" applyAlignment="0" applyProtection="0"/>
    <xf numFmtId="0" fontId="29" fillId="0" borderId="0" applyNumberFormat="0" applyFill="0" applyBorder="0" applyAlignment="0" applyProtection="0"/>
  </cellStyleXfs>
  <cellXfs count="227">
    <xf numFmtId="0" fontId="0" fillId="0" borderId="0" xfId="0"/>
    <xf numFmtId="16" fontId="0" fillId="0" borderId="0" xfId="0" applyNumberFormat="1"/>
    <xf numFmtId="0" fontId="0" fillId="0" borderId="0" xfId="0" applyNumberFormat="1"/>
    <xf numFmtId="165" fontId="0" fillId="0" borderId="0" xfId="1" applyNumberFormat="1" applyFont="1"/>
    <xf numFmtId="17" fontId="0" fillId="0" borderId="0" xfId="0" applyNumberFormat="1"/>
    <xf numFmtId="0" fontId="5" fillId="0" borderId="0" xfId="0" applyFont="1" applyBorder="1"/>
    <xf numFmtId="0" fontId="5" fillId="0" borderId="0" xfId="0" applyFont="1"/>
    <xf numFmtId="0" fontId="0" fillId="0" borderId="5" xfId="0" applyBorder="1"/>
    <xf numFmtId="0" fontId="0" fillId="0" borderId="0" xfId="0" applyBorder="1"/>
    <xf numFmtId="0" fontId="0" fillId="0" borderId="6" xfId="0" applyBorder="1"/>
    <xf numFmtId="0" fontId="10" fillId="0" borderId="5" xfId="0" applyFont="1" applyBorder="1"/>
    <xf numFmtId="0" fontId="3" fillId="0" borderId="5" xfId="0" applyFont="1" applyBorder="1"/>
    <xf numFmtId="0" fontId="0" fillId="0" borderId="7" xfId="0" applyBorder="1"/>
    <xf numFmtId="0" fontId="0" fillId="0" borderId="8" xfId="0" applyBorder="1"/>
    <xf numFmtId="0" fontId="0" fillId="0" borderId="9" xfId="0"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9" fillId="3" borderId="10" xfId="0" applyFont="1" applyFill="1" applyBorder="1"/>
    <xf numFmtId="0" fontId="9" fillId="3" borderId="11" xfId="0" applyFont="1" applyFill="1" applyBorder="1"/>
    <xf numFmtId="0" fontId="9" fillId="3" borderId="12" xfId="0" applyFont="1" applyFill="1" applyBorder="1"/>
    <xf numFmtId="0" fontId="2" fillId="4" borderId="2" xfId="0" applyFont="1" applyFill="1" applyBorder="1"/>
    <xf numFmtId="0" fontId="2" fillId="4" borderId="3" xfId="0" applyFont="1" applyFill="1" applyBorder="1"/>
    <xf numFmtId="0" fontId="2" fillId="4" borderId="4" xfId="0" applyFont="1" applyFill="1" applyBorder="1"/>
    <xf numFmtId="0" fontId="0" fillId="5" borderId="0" xfId="0" applyFill="1"/>
    <xf numFmtId="0" fontId="0" fillId="0" borderId="0" xfId="0"/>
    <xf numFmtId="0" fontId="0" fillId="6" borderId="24" xfId="0" applyFill="1" applyBorder="1"/>
    <xf numFmtId="0" fontId="0" fillId="6" borderId="25" xfId="0" applyFill="1" applyBorder="1"/>
    <xf numFmtId="0" fontId="0" fillId="0" borderId="44" xfId="0" applyBorder="1"/>
    <xf numFmtId="0" fontId="0" fillId="0" borderId="45" xfId="0" applyBorder="1"/>
    <xf numFmtId="0" fontId="0" fillId="0" borderId="46" xfId="0" applyBorder="1"/>
    <xf numFmtId="0" fontId="0" fillId="2" borderId="0" xfId="0" applyFill="1"/>
    <xf numFmtId="0" fontId="0" fillId="9" borderId="0" xfId="0" applyFill="1"/>
    <xf numFmtId="0" fontId="0" fillId="6" borderId="0" xfId="0" applyFill="1" applyBorder="1"/>
    <xf numFmtId="0" fontId="0" fillId="9" borderId="0" xfId="0" applyFill="1" applyBorder="1"/>
    <xf numFmtId="165" fontId="0" fillId="7" borderId="0" xfId="1" applyNumberFormat="1" applyFont="1" applyFill="1" applyBorder="1"/>
    <xf numFmtId="0" fontId="0" fillId="5" borderId="0" xfId="0" applyFill="1" applyBorder="1"/>
    <xf numFmtId="0" fontId="12" fillId="8" borderId="0" xfId="0" applyFont="1" applyFill="1" applyBorder="1"/>
    <xf numFmtId="165" fontId="0" fillId="9" borderId="0" xfId="1" applyNumberFormat="1" applyFont="1" applyFill="1" applyBorder="1"/>
    <xf numFmtId="0" fontId="0" fillId="0" borderId="47" xfId="0" applyBorder="1"/>
    <xf numFmtId="0" fontId="0" fillId="5" borderId="47" xfId="0" applyFill="1" applyBorder="1"/>
    <xf numFmtId="0" fontId="15" fillId="6" borderId="25" xfId="0" applyFont="1" applyFill="1" applyBorder="1" applyAlignment="1">
      <alignment wrapText="1"/>
    </xf>
    <xf numFmtId="0" fontId="16" fillId="9" borderId="0" xfId="0" applyFont="1" applyFill="1" applyBorder="1" applyAlignment="1">
      <alignment wrapText="1"/>
    </xf>
    <xf numFmtId="165" fontId="16" fillId="9" borderId="26" xfId="1" applyNumberFormat="1" applyFont="1" applyFill="1" applyBorder="1" applyAlignment="1">
      <alignment wrapText="1"/>
    </xf>
    <xf numFmtId="0" fontId="9" fillId="12" borderId="48" xfId="0" applyFont="1" applyFill="1" applyBorder="1"/>
    <xf numFmtId="0" fontId="0" fillId="0" borderId="0" xfId="0" applyBorder="1" applyAlignment="1">
      <alignment vertical="center" wrapText="1"/>
    </xf>
    <xf numFmtId="0" fontId="5" fillId="0" borderId="0" xfId="0" applyFont="1" applyFill="1" applyBorder="1" applyAlignment="1">
      <alignment horizontal="left" vertical="center" wrapText="1"/>
    </xf>
    <xf numFmtId="0" fontId="0" fillId="13" borderId="0" xfId="0" applyFill="1"/>
    <xf numFmtId="165" fontId="0" fillId="2" borderId="0" xfId="1" applyNumberFormat="1" applyFont="1" applyFill="1"/>
    <xf numFmtId="2" fontId="0" fillId="2" borderId="0" xfId="0" applyNumberFormat="1" applyFill="1"/>
    <xf numFmtId="0" fontId="14" fillId="0" borderId="0" xfId="0" applyFont="1" applyBorder="1" applyAlignment="1">
      <alignment vertical="center"/>
    </xf>
    <xf numFmtId="0" fontId="0" fillId="12" borderId="50" xfId="0" applyFill="1" applyBorder="1"/>
    <xf numFmtId="0" fontId="14" fillId="0" borderId="0" xfId="0" applyFont="1"/>
    <xf numFmtId="0" fontId="0" fillId="14" borderId="0" xfId="0" applyFill="1"/>
    <xf numFmtId="0" fontId="0" fillId="14" borderId="56" xfId="0" applyFill="1" applyBorder="1" applyAlignment="1">
      <alignment horizontal="center"/>
    </xf>
    <xf numFmtId="0" fontId="0" fillId="14" borderId="1" xfId="0" applyFill="1" applyBorder="1" applyAlignment="1">
      <alignment horizontal="center"/>
    </xf>
    <xf numFmtId="0" fontId="0" fillId="14" borderId="57" xfId="0" applyFill="1" applyBorder="1" applyAlignment="1">
      <alignment horizontal="center"/>
    </xf>
    <xf numFmtId="0" fontId="18" fillId="0" borderId="0" xfId="0" applyFont="1" applyAlignment="1">
      <alignment vertical="top"/>
    </xf>
    <xf numFmtId="0" fontId="13" fillId="11" borderId="0" xfId="0" applyFont="1" applyFill="1"/>
    <xf numFmtId="0" fontId="5" fillId="0" borderId="0" xfId="0" applyFont="1" applyFill="1" applyBorder="1" applyAlignment="1">
      <alignment horizontal="right" vertical="center" wrapText="1"/>
    </xf>
    <xf numFmtId="0" fontId="0" fillId="0" borderId="0" xfId="0" applyAlignment="1">
      <alignment horizontal="left"/>
    </xf>
    <xf numFmtId="0" fontId="0" fillId="0" borderId="0" xfId="0"/>
    <xf numFmtId="0" fontId="0" fillId="0" borderId="41" xfId="0" applyBorder="1" applyAlignment="1">
      <alignment vertical="top" wrapText="1"/>
    </xf>
    <xf numFmtId="0" fontId="0" fillId="0" borderId="42" xfId="0" applyBorder="1" applyAlignment="1"/>
    <xf numFmtId="0" fontId="0" fillId="0" borderId="43" xfId="0" applyBorder="1" applyAlignment="1"/>
    <xf numFmtId="0" fontId="14" fillId="2" borderId="0" xfId="0" applyFont="1" applyFill="1"/>
    <xf numFmtId="0" fontId="14" fillId="2" borderId="0" xfId="0" applyNumberFormat="1" applyFont="1" applyFill="1"/>
    <xf numFmtId="0" fontId="21" fillId="17" borderId="0" xfId="0" applyFont="1" applyFill="1"/>
    <xf numFmtId="0" fontId="13" fillId="19" borderId="0" xfId="0" applyFont="1" applyFill="1"/>
    <xf numFmtId="0" fontId="9" fillId="19" borderId="0" xfId="0" applyFont="1" applyFill="1"/>
    <xf numFmtId="0" fontId="5" fillId="0" borderId="0" xfId="0" applyNumberFormat="1" applyFont="1"/>
    <xf numFmtId="0" fontId="20" fillId="0" borderId="0" xfId="0" applyFont="1" applyFill="1" applyBorder="1" applyAlignment="1">
      <alignment horizontal="left" vertical="center" wrapText="1"/>
    </xf>
    <xf numFmtId="0" fontId="15" fillId="0" borderId="0" xfId="0" applyNumberFormat="1" applyFont="1"/>
    <xf numFmtId="0" fontId="23" fillId="16" borderId="58" xfId="0" applyFont="1" applyFill="1" applyBorder="1"/>
    <xf numFmtId="0" fontId="24" fillId="17" borderId="0" xfId="0" applyFont="1" applyFill="1"/>
    <xf numFmtId="0" fontId="25" fillId="16" borderId="59" xfId="0" applyFont="1" applyFill="1" applyBorder="1"/>
    <xf numFmtId="0" fontId="0" fillId="22" borderId="0" xfId="0" applyFill="1"/>
    <xf numFmtId="0" fontId="26" fillId="2" borderId="0" xfId="0" applyNumberFormat="1" applyFont="1" applyFill="1"/>
    <xf numFmtId="0" fontId="28" fillId="0" borderId="0" xfId="0" applyFont="1" applyFill="1" applyBorder="1"/>
    <xf numFmtId="0" fontId="0" fillId="0" borderId="0" xfId="0" applyFill="1" applyBorder="1"/>
    <xf numFmtId="0" fontId="29" fillId="0" borderId="0" xfId="4"/>
    <xf numFmtId="0" fontId="22" fillId="0" borderId="0" xfId="0" applyFont="1" applyFill="1" applyBorder="1" applyAlignment="1">
      <alignment horizontal="center" wrapText="1"/>
    </xf>
    <xf numFmtId="0" fontId="27" fillId="20" borderId="60" xfId="0" applyFont="1" applyFill="1" applyBorder="1" applyAlignment="1">
      <alignment horizontal="center" wrapText="1"/>
    </xf>
    <xf numFmtId="9" fontId="5" fillId="0" borderId="0" xfId="0" applyNumberFormat="1" applyFont="1"/>
    <xf numFmtId="164" fontId="14" fillId="0" borderId="0" xfId="0" applyNumberFormat="1" applyFont="1"/>
    <xf numFmtId="1" fontId="14" fillId="0" borderId="0" xfId="0" applyNumberFormat="1" applyFont="1"/>
    <xf numFmtId="165" fontId="14" fillId="0" borderId="0" xfId="1" applyNumberFormat="1" applyFont="1"/>
    <xf numFmtId="2" fontId="14" fillId="0" borderId="0" xfId="0" applyNumberFormat="1" applyFont="1"/>
    <xf numFmtId="9" fontId="14" fillId="0" borderId="0" xfId="0" applyNumberFormat="1" applyFont="1"/>
    <xf numFmtId="166" fontId="14" fillId="0" borderId="0" xfId="0" applyNumberFormat="1" applyFont="1"/>
    <xf numFmtId="10" fontId="14" fillId="0" borderId="0" xfId="0" applyNumberFormat="1" applyFont="1"/>
    <xf numFmtId="167" fontId="14" fillId="0" borderId="0" xfId="0" applyNumberFormat="1" applyFont="1"/>
    <xf numFmtId="4" fontId="14" fillId="0" borderId="0" xfId="0" applyNumberFormat="1" applyFont="1"/>
    <xf numFmtId="9" fontId="5" fillId="0" borderId="0" xfId="1" applyNumberFormat="1" applyFont="1"/>
    <xf numFmtId="0" fontId="5" fillId="2" borderId="0" xfId="0" applyFont="1" applyFill="1"/>
    <xf numFmtId="0" fontId="0" fillId="14" borderId="56" xfId="0" applyFill="1" applyBorder="1"/>
    <xf numFmtId="0" fontId="0" fillId="14" borderId="1" xfId="0" applyFill="1" applyBorder="1"/>
    <xf numFmtId="0" fontId="0" fillId="14" borderId="57" xfId="0" applyFill="1" applyBorder="1"/>
    <xf numFmtId="0" fontId="0" fillId="15" borderId="0" xfId="0" applyFill="1"/>
    <xf numFmtId="0" fontId="0" fillId="0" borderId="0" xfId="1" applyNumberFormat="1" applyFont="1"/>
    <xf numFmtId="0" fontId="30" fillId="19" borderId="0" xfId="0" applyFont="1" applyFill="1"/>
    <xf numFmtId="0" fontId="0" fillId="19" borderId="0" xfId="0" applyFill="1"/>
    <xf numFmtId="0" fontId="0" fillId="15" borderId="56" xfId="0" applyFill="1" applyBorder="1"/>
    <xf numFmtId="0" fontId="0" fillId="15" borderId="1" xfId="0" applyFill="1" applyBorder="1"/>
    <xf numFmtId="0" fontId="0" fillId="15" borderId="57" xfId="0" applyFill="1" applyBorder="1"/>
    <xf numFmtId="0" fontId="20" fillId="23" borderId="0" xfId="0" applyFont="1" applyFill="1" applyBorder="1" applyAlignment="1">
      <alignment horizontal="center" vertical="center" wrapText="1"/>
    </xf>
    <xf numFmtId="0" fontId="15" fillId="23" borderId="0" xfId="0" applyFont="1" applyFill="1" applyAlignment="1">
      <alignment horizontal="left" vertical="center"/>
    </xf>
    <xf numFmtId="0" fontId="0" fillId="15" borderId="61" xfId="0" applyFill="1" applyBorder="1"/>
    <xf numFmtId="1" fontId="0" fillId="0" borderId="0" xfId="1" applyNumberFormat="1" applyFont="1"/>
    <xf numFmtId="0" fontId="13" fillId="24" borderId="0" xfId="0" applyFont="1" applyFill="1"/>
    <xf numFmtId="0" fontId="5" fillId="14" borderId="0" xfId="0" applyFont="1" applyFill="1"/>
    <xf numFmtId="17" fontId="5" fillId="0" borderId="0" xfId="0" applyNumberFormat="1" applyFont="1" applyFill="1" applyBorder="1"/>
    <xf numFmtId="0" fontId="31" fillId="25" borderId="0" xfId="0" applyFont="1" applyFill="1" applyBorder="1"/>
    <xf numFmtId="0" fontId="32" fillId="25" borderId="0" xfId="0" applyFont="1" applyFill="1" applyBorder="1"/>
    <xf numFmtId="0" fontId="33" fillId="25" borderId="0" xfId="0" applyFont="1" applyFill="1" applyBorder="1"/>
    <xf numFmtId="0" fontId="34" fillId="25" borderId="0" xfId="0" applyFont="1" applyFill="1" applyBorder="1"/>
    <xf numFmtId="14" fontId="14" fillId="0" borderId="0" xfId="0" applyNumberFormat="1" applyFont="1" applyFill="1" applyBorder="1"/>
    <xf numFmtId="168" fontId="5" fillId="0" borderId="0" xfId="0" applyNumberFormat="1" applyFont="1" applyFill="1" applyBorder="1"/>
    <xf numFmtId="0" fontId="35" fillId="0" borderId="0" xfId="0" applyFont="1" applyFill="1"/>
    <xf numFmtId="0" fontId="16" fillId="0" borderId="0" xfId="0" applyFont="1" applyFill="1"/>
    <xf numFmtId="0" fontId="36" fillId="0" borderId="0" xfId="0" applyFont="1" applyFill="1"/>
    <xf numFmtId="164" fontId="37" fillId="0" borderId="0" xfId="0" applyNumberFormat="1" applyFont="1" applyFill="1"/>
    <xf numFmtId="0" fontId="36" fillId="14" borderId="0" xfId="0" applyFont="1" applyFill="1"/>
    <xf numFmtId="0" fontId="38" fillId="0" borderId="0" xfId="0" applyFont="1"/>
    <xf numFmtId="0" fontId="39"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1" fillId="0" borderId="0" xfId="0" applyFont="1"/>
    <xf numFmtId="0" fontId="0" fillId="0" borderId="0" xfId="0"/>
    <xf numFmtId="169" fontId="14" fillId="0" borderId="0" xfId="0" applyNumberFormat="1" applyFont="1" applyFill="1" applyBorder="1"/>
    <xf numFmtId="0" fontId="0" fillId="19" borderId="0" xfId="0" applyFill="1" applyBorder="1"/>
    <xf numFmtId="0" fontId="0" fillId="4" borderId="0" xfId="0" applyFill="1" applyBorder="1"/>
    <xf numFmtId="0" fontId="0" fillId="26" borderId="0" xfId="0" applyFill="1" applyBorder="1"/>
    <xf numFmtId="0" fontId="0" fillId="12" borderId="0" xfId="0" applyFill="1" applyBorder="1"/>
    <xf numFmtId="0" fontId="14" fillId="0" borderId="0" xfId="0" applyFont="1" applyBorder="1"/>
    <xf numFmtId="2" fontId="0" fillId="18" borderId="60" xfId="1" applyNumberFormat="1" applyFont="1" applyFill="1" applyBorder="1" applyAlignment="1">
      <alignment horizontal="right" vertical="center"/>
    </xf>
    <xf numFmtId="166" fontId="0" fillId="0" borderId="0" xfId="0" applyNumberFormat="1"/>
    <xf numFmtId="166" fontId="0" fillId="0" borderId="0" xfId="1" applyNumberFormat="1" applyFont="1"/>
    <xf numFmtId="0" fontId="42" fillId="0" borderId="0" xfId="0" applyFont="1" applyAlignment="1">
      <alignment horizontal="center"/>
    </xf>
    <xf numFmtId="0" fontId="0" fillId="17" borderId="62" xfId="0" applyFill="1" applyBorder="1"/>
    <xf numFmtId="0" fontId="13" fillId="17" borderId="63" xfId="0" applyFont="1" applyFill="1" applyBorder="1"/>
    <xf numFmtId="0" fontId="0" fillId="17" borderId="63" xfId="0" applyFill="1" applyBorder="1"/>
    <xf numFmtId="0" fontId="0" fillId="24" borderId="0" xfId="0" applyFill="1" applyBorder="1"/>
    <xf numFmtId="0" fontId="5" fillId="0" borderId="0" xfId="0" applyFont="1" applyFill="1" applyBorder="1"/>
    <xf numFmtId="0" fontId="17" fillId="2" borderId="24" xfId="0" applyFont="1" applyFill="1" applyBorder="1"/>
    <xf numFmtId="0" fontId="0" fillId="2" borderId="25" xfId="0" applyFill="1" applyBorder="1"/>
    <xf numFmtId="0" fontId="0" fillId="2" borderId="64" xfId="0" applyFill="1" applyBorder="1"/>
    <xf numFmtId="0" fontId="0" fillId="0" borderId="66" xfId="0" applyBorder="1"/>
    <xf numFmtId="0" fontId="0" fillId="0" borderId="65" xfId="0" applyBorder="1"/>
    <xf numFmtId="0" fontId="0" fillId="6" borderId="65" xfId="0" applyFill="1" applyBorder="1"/>
    <xf numFmtId="0" fontId="0" fillId="6" borderId="66" xfId="0" applyFill="1" applyBorder="1"/>
    <xf numFmtId="0" fontId="0" fillId="6" borderId="67" xfId="0" applyFill="1" applyBorder="1"/>
    <xf numFmtId="0" fontId="0" fillId="0" borderId="68" xfId="0" applyBorder="1"/>
    <xf numFmtId="0" fontId="0" fillId="0" borderId="65" xfId="0" applyFill="1" applyBorder="1"/>
    <xf numFmtId="0" fontId="13" fillId="12" borderId="65" xfId="0" applyFont="1" applyFill="1" applyBorder="1"/>
    <xf numFmtId="0" fontId="0" fillId="12" borderId="66" xfId="0" applyFill="1" applyBorder="1"/>
    <xf numFmtId="0" fontId="0" fillId="12" borderId="65" xfId="0" applyFill="1" applyBorder="1"/>
    <xf numFmtId="0" fontId="0" fillId="9" borderId="65" xfId="0" applyFill="1" applyBorder="1"/>
    <xf numFmtId="0" fontId="0" fillId="9" borderId="66" xfId="0" applyFill="1" applyBorder="1"/>
    <xf numFmtId="0" fontId="0" fillId="9" borderId="69" xfId="0" applyFill="1" applyBorder="1"/>
    <xf numFmtId="0" fontId="5" fillId="0" borderId="26" xfId="0" applyFont="1" applyBorder="1"/>
    <xf numFmtId="0" fontId="0" fillId="0" borderId="26" xfId="0" applyBorder="1"/>
    <xf numFmtId="0" fontId="0" fillId="0" borderId="70" xfId="0" applyBorder="1"/>
    <xf numFmtId="0" fontId="45" fillId="2" borderId="71" xfId="0" applyFont="1" applyFill="1" applyBorder="1"/>
    <xf numFmtId="0" fontId="0" fillId="2" borderId="72" xfId="0" applyFill="1" applyBorder="1"/>
    <xf numFmtId="0" fontId="0" fillId="2" borderId="73" xfId="0" applyFill="1" applyBorder="1"/>
    <xf numFmtId="0" fontId="0" fillId="2" borderId="74" xfId="0" applyFill="1" applyBorder="1"/>
    <xf numFmtId="0" fontId="0" fillId="0" borderId="75" xfId="0" applyBorder="1"/>
    <xf numFmtId="0" fontId="0" fillId="2" borderId="76" xfId="0" applyFill="1" applyBorder="1"/>
    <xf numFmtId="0" fontId="0" fillId="0" borderId="77" xfId="0" applyBorder="1"/>
    <xf numFmtId="0" fontId="0" fillId="0" borderId="78" xfId="0" applyBorder="1"/>
    <xf numFmtId="0" fontId="5" fillId="6" borderId="0" xfId="0" applyFont="1" applyFill="1" applyBorder="1" applyAlignment="1">
      <alignment horizontal="center" wrapText="1"/>
    </xf>
    <xf numFmtId="0" fontId="5" fillId="9" borderId="0" xfId="0" applyFont="1" applyFill="1" applyBorder="1" applyAlignment="1">
      <alignment horizontal="center" wrapText="1"/>
    </xf>
    <xf numFmtId="0" fontId="0" fillId="2" borderId="65" xfId="0" applyFill="1" applyBorder="1" applyAlignment="1">
      <alignment horizontal="center" vertical="center"/>
    </xf>
    <xf numFmtId="0" fontId="11" fillId="9" borderId="0" xfId="0" applyFont="1" applyFill="1" applyBorder="1" applyAlignment="1">
      <alignment horizontal="center" wrapText="1"/>
    </xf>
    <xf numFmtId="0" fontId="14" fillId="2" borderId="0" xfId="0" applyFont="1" applyFill="1" applyAlignment="1">
      <alignment horizontal="left" wrapText="1"/>
    </xf>
    <xf numFmtId="0" fontId="14" fillId="0" borderId="35" xfId="0" applyFont="1" applyBorder="1" applyAlignment="1">
      <alignment wrapText="1"/>
    </xf>
    <xf numFmtId="0" fontId="14" fillId="0" borderId="36" xfId="0" applyFont="1" applyBorder="1" applyAlignment="1">
      <alignment wrapText="1"/>
    </xf>
    <xf numFmtId="0" fontId="14" fillId="0" borderId="37" xfId="0" applyFont="1" applyBorder="1" applyAlignment="1">
      <alignment wrapText="1"/>
    </xf>
    <xf numFmtId="0" fontId="14" fillId="0" borderId="38" xfId="0" applyFont="1" applyBorder="1" applyAlignment="1">
      <alignment wrapText="1"/>
    </xf>
    <xf numFmtId="0" fontId="5" fillId="10" borderId="27" xfId="0" applyFont="1" applyFill="1" applyBorder="1" applyAlignment="1">
      <alignment horizontal="center" vertical="center"/>
    </xf>
    <xf numFmtId="0" fontId="5" fillId="10" borderId="28" xfId="0" applyFont="1" applyFill="1" applyBorder="1" applyAlignment="1">
      <alignment horizontal="center" vertical="center"/>
    </xf>
    <xf numFmtId="0" fontId="5" fillId="10" borderId="19" xfId="0" applyFont="1" applyFill="1" applyBorder="1" applyAlignment="1">
      <alignment horizontal="center" vertical="center"/>
    </xf>
    <xf numFmtId="0" fontId="5" fillId="10" borderId="22" xfId="0" applyFont="1" applyFill="1" applyBorder="1" applyAlignment="1">
      <alignment horizontal="center" vertical="center"/>
    </xf>
    <xf numFmtId="0" fontId="0" fillId="10" borderId="29" xfId="0" applyFill="1" applyBorder="1" applyAlignment="1">
      <alignment horizontal="left" vertical="center" wrapText="1"/>
    </xf>
    <xf numFmtId="0" fontId="0" fillId="10" borderId="27" xfId="0" applyFill="1" applyBorder="1" applyAlignment="1">
      <alignment horizontal="left" vertical="center" wrapText="1"/>
    </xf>
    <xf numFmtId="0" fontId="0" fillId="10" borderId="30" xfId="0" applyFill="1" applyBorder="1" applyAlignment="1">
      <alignment horizontal="left" vertical="center" wrapText="1"/>
    </xf>
    <xf numFmtId="0" fontId="0" fillId="10" borderId="23" xfId="0" applyFill="1" applyBorder="1" applyAlignment="1">
      <alignment horizontal="left" vertical="center" wrapText="1"/>
    </xf>
    <xf numFmtId="0" fontId="0" fillId="10" borderId="19" xfId="0" applyFill="1" applyBorder="1" applyAlignment="1">
      <alignment horizontal="left" vertical="center" wrapText="1"/>
    </xf>
    <xf numFmtId="0" fontId="0" fillId="10" borderId="31" xfId="0" applyFill="1" applyBorder="1" applyAlignment="1">
      <alignment horizontal="left" vertical="center" wrapText="1"/>
    </xf>
    <xf numFmtId="0" fontId="46" fillId="0" borderId="51" xfId="0" applyFont="1" applyBorder="1" applyAlignment="1">
      <alignment vertical="top" wrapText="1" shrinkToFit="1"/>
    </xf>
    <xf numFmtId="0" fontId="46" fillId="0" borderId="0" xfId="0" applyFont="1" applyBorder="1" applyAlignment="1">
      <alignment vertical="top" wrapText="1" shrinkToFit="1"/>
    </xf>
    <xf numFmtId="0" fontId="46" fillId="0" borderId="52" xfId="0" applyFont="1" applyBorder="1" applyAlignment="1">
      <alignment vertical="top" wrapText="1" shrinkToFit="1"/>
    </xf>
    <xf numFmtId="0" fontId="46" fillId="0" borderId="53" xfId="0" applyFont="1" applyBorder="1" applyAlignment="1">
      <alignment vertical="top" wrapText="1" shrinkToFit="1"/>
    </xf>
    <xf numFmtId="0" fontId="46" fillId="0" borderId="54" xfId="0" applyFont="1" applyBorder="1" applyAlignment="1">
      <alignment vertical="top" wrapText="1" shrinkToFit="1"/>
    </xf>
    <xf numFmtId="0" fontId="46" fillId="0" borderId="55" xfId="0" applyFont="1" applyBorder="1" applyAlignment="1">
      <alignment vertical="top" wrapText="1" shrinkToFit="1"/>
    </xf>
    <xf numFmtId="0" fontId="14" fillId="0" borderId="0" xfId="0" applyFont="1" applyAlignment="1">
      <alignment vertical="center" wrapText="1" shrinkToFit="1"/>
    </xf>
    <xf numFmtId="0" fontId="14" fillId="0" borderId="37" xfId="0" applyFont="1" applyBorder="1" applyAlignment="1">
      <alignment vertical="center" wrapText="1"/>
    </xf>
    <xf numFmtId="0" fontId="14" fillId="0" borderId="38" xfId="0" applyFont="1" applyBorder="1" applyAlignment="1">
      <alignment vertical="center" wrapText="1"/>
    </xf>
    <xf numFmtId="0" fontId="14" fillId="0" borderId="39" xfId="0" applyFont="1" applyBorder="1" applyAlignment="1">
      <alignment vertical="center" wrapText="1"/>
    </xf>
    <xf numFmtId="0" fontId="14" fillId="0" borderId="40" xfId="0" applyFont="1" applyBorder="1" applyAlignment="1">
      <alignment vertical="center" wrapText="1"/>
    </xf>
    <xf numFmtId="0" fontId="5" fillId="10" borderId="18" xfId="0" applyFont="1" applyFill="1" applyBorder="1" applyAlignment="1">
      <alignment horizontal="left" vertical="center" wrapText="1"/>
    </xf>
    <xf numFmtId="0" fontId="5" fillId="10" borderId="32" xfId="0" applyFont="1" applyFill="1" applyBorder="1" applyAlignment="1">
      <alignment horizontal="left" vertical="center" wrapText="1"/>
    </xf>
    <xf numFmtId="0" fontId="5" fillId="10" borderId="33" xfId="0" applyFont="1" applyFill="1" applyBorder="1" applyAlignment="1">
      <alignment horizontal="left" vertical="center" wrapText="1"/>
    </xf>
    <xf numFmtId="0" fontId="5" fillId="10" borderId="34" xfId="0" applyFont="1" applyFill="1" applyBorder="1" applyAlignment="1">
      <alignment horizontal="left" vertical="center" wrapText="1"/>
    </xf>
    <xf numFmtId="0" fontId="5" fillId="10" borderId="18" xfId="0" applyFont="1" applyFill="1" applyBorder="1" applyAlignment="1">
      <alignment horizontal="center" vertical="center"/>
    </xf>
    <xf numFmtId="0" fontId="5" fillId="10" borderId="20" xfId="0" applyFont="1" applyFill="1" applyBorder="1" applyAlignment="1">
      <alignment horizontal="center" vertical="center"/>
    </xf>
    <xf numFmtId="0" fontId="20" fillId="21" borderId="27" xfId="0" applyFont="1" applyFill="1" applyBorder="1" applyAlignment="1">
      <alignment horizontal="left" vertical="center" wrapText="1"/>
    </xf>
    <xf numFmtId="0" fontId="20" fillId="23" borderId="27" xfId="0" applyFont="1" applyFill="1" applyBorder="1" applyAlignment="1">
      <alignment horizontal="right" vertical="center" wrapText="1"/>
    </xf>
    <xf numFmtId="0" fontId="13" fillId="9" borderId="49" xfId="0" applyFont="1" applyFill="1" applyBorder="1"/>
    <xf numFmtId="0" fontId="13" fillId="9" borderId="50" xfId="0" applyFont="1" applyFill="1" applyBorder="1"/>
    <xf numFmtId="0" fontId="0" fillId="10" borderId="21" xfId="0" applyFill="1" applyBorder="1" applyAlignment="1">
      <alignment horizontal="left" vertical="center"/>
    </xf>
    <xf numFmtId="0" fontId="0" fillId="10" borderId="18" xfId="0" applyFill="1" applyBorder="1" applyAlignment="1">
      <alignment horizontal="left" vertical="center"/>
    </xf>
    <xf numFmtId="0" fontId="0" fillId="10" borderId="32" xfId="0" applyFill="1" applyBorder="1" applyAlignment="1">
      <alignment horizontal="left" vertical="center"/>
    </xf>
    <xf numFmtId="0" fontId="0" fillId="10" borderId="23" xfId="0" applyFill="1" applyBorder="1" applyAlignment="1">
      <alignment horizontal="left" vertical="center"/>
    </xf>
    <xf numFmtId="0" fontId="0" fillId="10" borderId="19" xfId="0" applyFill="1" applyBorder="1" applyAlignment="1">
      <alignment horizontal="left" vertical="center"/>
    </xf>
    <xf numFmtId="0" fontId="0" fillId="10" borderId="31" xfId="0" applyFill="1" applyBorder="1" applyAlignment="1">
      <alignment horizontal="left" vertical="center"/>
    </xf>
    <xf numFmtId="0" fontId="0" fillId="0" borderId="0" xfId="0"/>
    <xf numFmtId="0" fontId="5" fillId="5" borderId="0" xfId="0" applyFont="1" applyFill="1" applyAlignment="1">
      <alignment horizontal="center"/>
    </xf>
    <xf numFmtId="0" fontId="10" fillId="2" borderId="0" xfId="0" applyFont="1" applyFill="1" applyAlignment="1">
      <alignment horizontal="center"/>
    </xf>
    <xf numFmtId="0" fontId="0" fillId="7" borderId="62" xfId="0" applyFill="1" applyBorder="1"/>
    <xf numFmtId="0" fontId="15" fillId="19" borderId="0" xfId="0" applyFont="1" applyFill="1" applyAlignment="1">
      <alignment horizontal="center"/>
    </xf>
    <xf numFmtId="0" fontId="0" fillId="0" borderId="0" xfId="0" applyFill="1" applyBorder="1" applyAlignment="1">
      <alignment horizontal="center" wrapText="1"/>
    </xf>
    <xf numFmtId="0" fontId="0" fillId="0" borderId="0" xfId="0" applyFill="1" applyBorder="1" applyAlignment="1">
      <alignment wrapText="1"/>
    </xf>
    <xf numFmtId="0" fontId="14" fillId="0" borderId="0" xfId="0" applyFont="1" applyFill="1" applyBorder="1" applyAlignment="1">
      <alignment wrapText="1"/>
    </xf>
    <xf numFmtId="0" fontId="19" fillId="19" borderId="0" xfId="0" applyFont="1" applyFill="1" applyAlignment="1">
      <alignment horizontal="center"/>
    </xf>
  </cellXfs>
  <cellStyles count="5">
    <cellStyle name="Comma" xfId="1" builtinId="3"/>
    <cellStyle name="Hyperlink" xfId="4" builtinId="8"/>
    <cellStyle name="Normal" xfId="0" builtinId="0"/>
    <cellStyle name="Normal 6" xfId="2"/>
    <cellStyle name="Percent 2 3" xfId="3"/>
  </cellStyles>
  <dxfs count="145">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b val="0"/>
        <i val="0"/>
        <strike val="0"/>
        <condense val="0"/>
        <extend val="0"/>
        <outline val="0"/>
        <shadow val="0"/>
        <u val="none"/>
        <vertAlign val="baseline"/>
        <sz val="8"/>
        <color theme="5" tint="-0.249977111117893"/>
        <name val="Calibri"/>
        <scheme val="minor"/>
      </font>
      <fill>
        <patternFill>
          <fgColor indexed="64"/>
          <bgColor theme="5" tint="0.39997558519241921"/>
        </patternFill>
      </fill>
    </dxf>
    <dxf>
      <font>
        <strike val="0"/>
        <outline val="0"/>
        <shadow val="0"/>
        <u val="none"/>
        <vertAlign val="baseline"/>
        <sz val="10"/>
        <color theme="5" tint="-0.249977111117893"/>
        <name val="Calibri"/>
        <scheme val="minor"/>
      </font>
      <fill>
        <patternFill>
          <fgColor indexed="64"/>
          <bgColor theme="5" tint="0.39997558519241921"/>
        </patternFill>
      </fill>
    </dxf>
    <dxf>
      <font>
        <sz val="10"/>
      </font>
      <numFmt numFmtId="0" formatCode="General"/>
    </dxf>
    <dxf>
      <font>
        <sz val="10"/>
      </font>
      <numFmt numFmtId="0" formatCode="General"/>
    </dxf>
    <dxf>
      <font>
        <strike val="0"/>
        <outline val="0"/>
        <shadow val="0"/>
        <u val="none"/>
        <vertAlign val="baseline"/>
        <sz val="8"/>
        <color theme="0" tint="-4.9989318521683403E-2"/>
        <name val="Calibri"/>
        <scheme val="minor"/>
      </font>
      <numFmt numFmtId="0" formatCode="General"/>
      <fill>
        <patternFill patternType="solid">
          <fgColor indexed="64"/>
          <bgColor theme="0" tint="-4.9989318521683403E-2"/>
        </patternFill>
      </fil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10"/>
        <color theme="1"/>
        <name val="Calibri"/>
        <scheme val="minor"/>
      </font>
      <numFmt numFmtId="13" formatCode="0%"/>
    </dxf>
    <dxf>
      <font>
        <strike val="0"/>
        <outline val="0"/>
        <shadow val="0"/>
        <u val="none"/>
        <vertAlign val="baseline"/>
        <sz val="9"/>
        <color theme="1"/>
        <name val="Calibri"/>
        <scheme val="minor"/>
      </font>
      <numFmt numFmtId="164" formatCode="0.0"/>
    </dxf>
    <dxf>
      <font>
        <strike val="0"/>
        <outline val="0"/>
        <shadow val="0"/>
        <u val="none"/>
        <vertAlign val="baseline"/>
        <sz val="9"/>
        <color theme="1"/>
        <name val="Calibri"/>
        <scheme val="minor"/>
      </font>
      <numFmt numFmtId="164" formatCode="0.0"/>
    </dxf>
    <dxf>
      <font>
        <strike val="0"/>
        <outline val="0"/>
        <shadow val="0"/>
        <u val="none"/>
        <vertAlign val="baseline"/>
        <sz val="9"/>
        <color theme="1"/>
        <name val="Calibri"/>
        <scheme val="minor"/>
      </font>
      <numFmt numFmtId="164" formatCode="0.0"/>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8"/>
        <color theme="1"/>
        <name val="Calibri"/>
        <scheme val="minor"/>
      </font>
      <numFmt numFmtId="0" formatCode="General"/>
    </dxf>
    <dxf>
      <font>
        <strike val="0"/>
        <outline val="0"/>
        <shadow val="0"/>
        <u val="none"/>
        <vertAlign val="baseline"/>
        <sz val="10"/>
        <color theme="1"/>
        <name val="Calibri"/>
        <scheme val="minor"/>
      </font>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9"/>
        <color theme="1"/>
        <name val="Calibri"/>
        <scheme val="minor"/>
      </font>
      <numFmt numFmtId="0" formatCode="General"/>
      <fill>
        <patternFill patternType="solid">
          <fgColor indexed="64"/>
          <bgColor theme="0" tint="-4.9989318521683403E-2"/>
        </patternFill>
      </fill>
    </dxf>
    <dxf>
      <font>
        <b val="0"/>
        <i val="0"/>
        <strike val="0"/>
        <condense val="0"/>
        <extend val="0"/>
        <outline val="0"/>
        <shadow val="0"/>
        <u val="none"/>
        <vertAlign val="baseline"/>
        <sz val="9"/>
        <color theme="1"/>
        <name val="Calibri"/>
        <scheme val="minor"/>
      </font>
      <numFmt numFmtId="0" formatCode="General"/>
      <fill>
        <patternFill patternType="solid">
          <fgColor indexed="64"/>
          <bgColor theme="0" tint="-4.9989318521683403E-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numFmt numFmtId="2" formatCode="0.00"/>
      <fill>
        <patternFill patternType="solid">
          <fgColor indexed="64"/>
          <bgColor theme="0" tint="-4.9989318521683403E-2"/>
        </patternFill>
      </fill>
    </dxf>
    <dxf>
      <numFmt numFmtId="165" formatCode="_-* #,##0_-;\-* #,##0_-;_-* &quot;-&quot;??_-;_-@_-"/>
      <fill>
        <patternFill patternType="solid">
          <fgColor indexed="64"/>
          <bgColor theme="0" tint="-4.9989318521683403E-2"/>
        </patternFill>
      </fill>
    </dxf>
    <dxf>
      <numFmt numFmtId="1" formatCode="0"/>
    </dxf>
    <dxf>
      <numFmt numFmtId="0" formatCode="General"/>
    </dxf>
    <dxf>
      <numFmt numFmtId="14" formatCode="0.00%"/>
    </dxf>
    <dxf>
      <font>
        <b val="0"/>
        <i val="0"/>
        <strike val="0"/>
        <condense val="0"/>
        <extend val="0"/>
        <outline val="0"/>
        <shadow val="0"/>
        <u val="none"/>
        <vertAlign val="baseline"/>
        <sz val="9"/>
        <color auto="1"/>
        <name val="Arial"/>
        <scheme val="none"/>
      </font>
      <numFmt numFmtId="22" formatCode="mmm\-yy"/>
      <fill>
        <patternFill patternType="none">
          <fgColor indexed="64"/>
          <bgColor indexed="65"/>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numFmt numFmtId="166" formatCode="0.0%"/>
    </dxf>
    <dxf>
      <numFmt numFmtId="1" formatCode="0"/>
    </dxf>
    <dxf>
      <font>
        <color theme="0" tint="-4.9989318521683403E-2"/>
      </font>
    </dxf>
    <dxf>
      <font>
        <color theme="0"/>
      </font>
    </dxf>
    <dxf>
      <font>
        <color rgb="FFC00000"/>
      </font>
    </dxf>
    <dxf>
      <fill>
        <gradientFill degree="90">
          <stop position="0">
            <color theme="0"/>
          </stop>
          <stop position="0.5">
            <color theme="4" tint="0.59999389629810485"/>
          </stop>
          <stop position="1">
            <color theme="0"/>
          </stop>
        </gradientFill>
      </fill>
    </dxf>
    <dxf>
      <font>
        <color rgb="FFC00000"/>
      </font>
    </dxf>
    <dxf>
      <fill>
        <gradientFill degree="90">
          <stop position="0">
            <color theme="0"/>
          </stop>
          <stop position="0.5">
            <color theme="4" tint="0.59999389629810485"/>
          </stop>
          <stop position="1">
            <color theme="0"/>
          </stop>
        </gradientFill>
      </fill>
    </dxf>
    <dxf>
      <fill>
        <gradientFill degree="90">
          <stop position="0">
            <color theme="0"/>
          </stop>
          <stop position="0.5">
            <color theme="4" tint="0.59999389629810485"/>
          </stop>
          <stop position="1">
            <color theme="0"/>
          </stop>
        </gradientFill>
      </fill>
    </dxf>
    <dxf>
      <fill>
        <gradientFill degree="90">
          <stop position="0">
            <color theme="0"/>
          </stop>
          <stop position="0.5">
            <color theme="4" tint="0.59999389629810485"/>
          </stop>
          <stop position="1">
            <color theme="0"/>
          </stop>
        </gradientFill>
      </fill>
    </dxf>
    <dxf>
      <font>
        <color theme="0" tint="-0.14996795556505021"/>
      </font>
    </dxf>
    <dxf>
      <fill>
        <gradientFill degree="135">
          <stop position="0">
            <color theme="7" tint="0.80001220740379042"/>
          </stop>
          <stop position="1">
            <color theme="5" tint="0.80001220740379042"/>
          </stop>
        </gradientFill>
      </fill>
    </dxf>
    <dxf>
      <font>
        <color theme="0"/>
      </font>
      <fill>
        <patternFill>
          <bgColor rgb="FF002060"/>
        </patternFill>
      </fill>
    </dxf>
    <dxf>
      <font>
        <color theme="0" tint="-4.9989318521683403E-2"/>
      </font>
    </dxf>
    <dxf>
      <font>
        <color theme="0" tint="-4.9989318521683403E-2"/>
      </font>
    </dxf>
    <dxf>
      <font>
        <color theme="0" tint="-0.24994659260841701"/>
      </font>
      <fill>
        <patternFill>
          <bgColor theme="0" tint="-4.9989318521683403E-2"/>
        </patternFill>
      </fill>
    </dxf>
    <dxf>
      <font>
        <color theme="0" tint="-0.34998626667073579"/>
      </font>
      <fill>
        <patternFill>
          <bgColor theme="0" tint="-0.14996795556505021"/>
        </patternFill>
      </fill>
    </dxf>
    <dxf>
      <fill>
        <patternFill>
          <bgColor rgb="FF00B050"/>
        </patternFill>
      </fill>
    </dxf>
    <dxf>
      <font>
        <color theme="0"/>
      </font>
      <fill>
        <patternFill>
          <bgColor theme="0"/>
        </patternFill>
      </fill>
    </dxf>
    <dxf>
      <font>
        <color theme="0"/>
      </font>
      <fill>
        <patternFill>
          <bgColor rgb="FF002060"/>
        </patternFill>
      </fill>
    </dxf>
    <dxf>
      <fill>
        <patternFill>
          <bgColor rgb="FFFF3399"/>
        </patternFill>
      </fill>
    </dxf>
    <dxf>
      <font>
        <color theme="0"/>
      </font>
      <fill>
        <patternFill>
          <bgColor theme="9" tint="-0.499984740745262"/>
        </patternFill>
      </fill>
    </dxf>
    <dxf>
      <font>
        <color theme="0" tint="-0.499984740745262"/>
      </font>
      <fill>
        <patternFill>
          <bgColor theme="0" tint="-4.9989318521683403E-2"/>
        </patternFill>
      </fill>
    </dxf>
    <dxf>
      <font>
        <color theme="1" tint="0.499984740745262"/>
      </font>
      <fill>
        <patternFill>
          <bgColor theme="0" tint="-0.14996795556505021"/>
        </patternFill>
      </fill>
    </dxf>
    <dxf>
      <font>
        <color theme="0" tint="-0.499984740745262"/>
      </font>
      <fill>
        <patternFill>
          <bgColor theme="0" tint="-4.9989318521683403E-2"/>
        </patternFill>
      </fill>
    </dxf>
    <dxf>
      <fill>
        <patternFill>
          <bgColor rgb="FFFF3399"/>
        </patternFill>
      </fill>
    </dxf>
    <dxf>
      <font>
        <color theme="1" tint="0.499984740745262"/>
      </font>
      <fill>
        <patternFill>
          <bgColor theme="0" tint="-0.14996795556505021"/>
        </patternFill>
      </fill>
    </dxf>
    <dxf>
      <font>
        <color theme="1" tint="0.34998626667073579"/>
      </font>
      <fill>
        <patternFill>
          <bgColor theme="0" tint="-4.9989318521683403E-2"/>
        </patternFill>
      </fill>
    </dxf>
    <dxf>
      <font>
        <color theme="0" tint="-4.9989318521683403E-2"/>
      </font>
      <fill>
        <patternFill>
          <bgColor theme="5" tint="0.79998168889431442"/>
        </patternFill>
      </fill>
    </dxf>
    <dxf>
      <font>
        <color theme="0"/>
      </font>
      <fill>
        <patternFill>
          <bgColor theme="9" tint="-0.499984740745262"/>
        </patternFill>
      </fill>
    </dxf>
    <dxf>
      <font>
        <color rgb="FFFF0000"/>
      </font>
    </dxf>
    <dxf>
      <fill>
        <patternFill>
          <bgColor rgb="FF00B050"/>
        </patternFill>
      </fill>
    </dxf>
    <dxf>
      <fill>
        <patternFill>
          <bgColor rgb="FF00B050"/>
        </patternFill>
      </fill>
    </dxf>
    <dxf>
      <fill>
        <patternFill>
          <bgColor theme="5" tint="0.59996337778862885"/>
        </patternFill>
      </fill>
    </dxf>
    <dxf>
      <fill>
        <patternFill>
          <bgColor rgb="FF92D050"/>
        </patternFill>
      </fill>
    </dxf>
    <dxf>
      <fill>
        <patternFill>
          <bgColor rgb="FF92D050"/>
        </patternFill>
      </fill>
    </dxf>
    <dxf>
      <fill>
        <patternFill>
          <bgColor theme="0" tint="-0.14996795556505021"/>
        </patternFill>
      </fill>
    </dxf>
    <dxf>
      <fill>
        <patternFill>
          <bgColor rgb="FFFFFF00"/>
        </patternFill>
      </fill>
    </dxf>
    <dxf>
      <fill>
        <patternFill>
          <bgColor theme="0" tint="-0.14996795556505021"/>
        </patternFill>
      </fill>
    </dxf>
    <dxf>
      <font>
        <color theme="0"/>
      </font>
      <fill>
        <patternFill>
          <bgColor rgb="FF7030A0"/>
        </patternFill>
      </fill>
    </dxf>
    <dxf>
      <font>
        <color theme="0"/>
      </font>
      <fill>
        <patternFill>
          <bgColor rgb="FF7030A0"/>
        </patternFill>
      </fill>
    </dxf>
    <dxf>
      <font>
        <color theme="1"/>
      </font>
      <fill>
        <patternFill>
          <bgColor rgb="FF92D050"/>
        </patternFill>
      </fill>
    </dxf>
    <dxf>
      <font>
        <color theme="5" tint="-0.24994659260841701"/>
      </font>
      <fill>
        <patternFill>
          <bgColor rgb="FFFFC000"/>
        </patternFill>
      </fill>
    </dxf>
    <dxf>
      <fill>
        <patternFill>
          <bgColor rgb="FF92D050"/>
        </patternFill>
      </fill>
    </dxf>
    <dxf>
      <font>
        <color rgb="FFC00000"/>
      </font>
      <fill>
        <patternFill>
          <bgColor theme="5" tint="0.59996337778862885"/>
        </patternFill>
      </fill>
    </dxf>
    <dxf>
      <fill>
        <gradientFill degree="180">
          <stop position="0">
            <color theme="0"/>
          </stop>
          <stop position="1">
            <color theme="0" tint="-0.49803155613879818"/>
          </stop>
        </gradientFill>
      </fill>
    </dxf>
    <dxf>
      <fill>
        <gradientFill>
          <stop position="0">
            <color theme="0"/>
          </stop>
          <stop position="1">
            <color theme="0" tint="-0.49803155613879818"/>
          </stop>
        </gradientFill>
      </fill>
    </dxf>
  </dxfs>
  <tableStyles count="0" defaultTableStyle="TableStyleMedium2" defaultPivotStyle="PivotStyleLight16"/>
  <colors>
    <mruColors>
      <color rgb="FF00FFCC"/>
      <color rgb="FF00FF00"/>
      <color rgb="FF63A0D7"/>
      <color rgb="FFCCFF99"/>
      <color rgb="FFFFFFCC"/>
      <color rgb="FFFF3399"/>
      <color rgb="FFFF33CC"/>
      <color rgb="FF898989"/>
      <color rgb="FFCCCCFF"/>
      <color rgb="FFFF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64814814814822E-2"/>
          <c:y val="0.10243444965130492"/>
          <c:w val="0.83146018518518516"/>
          <c:h val="0.60511479433769855"/>
        </c:manualLayout>
      </c:layout>
      <c:barChart>
        <c:barDir val="col"/>
        <c:grouping val="clustered"/>
        <c:varyColors val="0"/>
        <c:ser>
          <c:idx val="11"/>
          <c:order val="0"/>
          <c:tx>
            <c:strRef>
              <c:f>Main!$CN$18</c:f>
              <c:strCache>
                <c:ptCount val="1"/>
                <c:pt idx="0">
                  <c:v>Err</c:v>
                </c:pt>
              </c:strCache>
            </c:strRef>
          </c:tx>
          <c:spPr>
            <a:pattFill prst="dkUpDiag">
              <a:fgClr>
                <a:srgbClr val="FF0000"/>
              </a:fgClr>
              <a:bgClr>
                <a:schemeClr val="bg1"/>
              </a:bgClr>
            </a:pattFill>
            <a:ln>
              <a:noFill/>
            </a:ln>
            <a:effectLst/>
          </c:spPr>
          <c:invertIfNegative val="0"/>
          <c:cat>
            <c:numRef>
              <c:f>Main!$A$19:$A$20</c:f>
              <c:numCache>
                <c:formatCode>mmm\-yy</c:formatCode>
                <c:ptCount val="2"/>
              </c:numCache>
            </c:numRef>
          </c:cat>
          <c:val>
            <c:numRef>
              <c:f>Main!$CN$19:$CN$20</c:f>
              <c:numCache>
                <c:formatCode>General</c:formatCode>
                <c:ptCount val="2"/>
                <c:pt idx="0">
                  <c:v>1</c:v>
                </c:pt>
                <c:pt idx="1">
                  <c:v>1</c:v>
                </c:pt>
              </c:numCache>
            </c:numRef>
          </c:val>
          <c:extLst>
            <c:ext xmlns:c16="http://schemas.microsoft.com/office/drawing/2014/chart" uri="{C3380CC4-5D6E-409C-BE32-E72D297353CC}">
              <c16:uniqueId val="{0000000B-6072-4BD8-93F7-7CD41F1CB47D}"/>
            </c:ext>
          </c:extLst>
        </c:ser>
        <c:dLbls>
          <c:showLegendKey val="0"/>
          <c:showVal val="0"/>
          <c:showCatName val="0"/>
          <c:showSerName val="0"/>
          <c:showPercent val="0"/>
          <c:showBubbleSize val="0"/>
        </c:dLbls>
        <c:gapWidth val="0"/>
        <c:axId val="615581536"/>
        <c:axId val="615579896"/>
      </c:barChart>
      <c:lineChart>
        <c:grouping val="standard"/>
        <c:varyColors val="0"/>
        <c:ser>
          <c:idx val="6"/>
          <c:order val="1"/>
          <c:tx>
            <c:strRef>
              <c:f>Main!$CI$18</c:f>
              <c:strCache>
                <c:ptCount val="1"/>
                <c:pt idx="0">
                  <c:v>LCL graph</c:v>
                </c:pt>
              </c:strCache>
            </c:strRef>
          </c:tx>
          <c:spPr>
            <a:ln w="9525" cap="rnd">
              <a:solidFill>
                <a:schemeClr val="tx1"/>
              </a:solidFill>
              <a:prstDash val="dash"/>
              <a:round/>
            </a:ln>
            <a:effectLst/>
          </c:spPr>
          <c:marker>
            <c:symbol val="none"/>
          </c:marker>
          <c:dLbls>
            <c:dLbl>
              <c:idx val="0"/>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E3111553-9F60-4459-9A28-69249C5D2E96}" type="CELLRANGE">
                      <a:rPr lang="en-US"/>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6-6072-4BD8-93F7-7CD41F1CB47D}"/>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6072-4BD8-93F7-7CD41F1CB47D}"/>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numRef>
              <c:f>Main!$A$19:$A$20</c:f>
              <c:numCache>
                <c:formatCode>mmm\-yy</c:formatCode>
                <c:ptCount val="2"/>
              </c:numCache>
            </c:numRef>
          </c:cat>
          <c:val>
            <c:numRef>
              <c:f>Main!$CI$19:$CI$20</c:f>
              <c:numCache>
                <c:formatCode>0.0</c:formatCode>
                <c:ptCount val="2"/>
                <c:pt idx="0">
                  <c:v>0</c:v>
                </c:pt>
                <c:pt idx="1">
                  <c:v>0</c:v>
                </c:pt>
              </c:numCache>
            </c:numRef>
          </c:val>
          <c:smooth val="0"/>
          <c:extLst>
            <c:ext xmlns:c15="http://schemas.microsoft.com/office/drawing/2012/chart" uri="{02D57815-91ED-43cb-92C2-25804820EDAC}">
              <c15:datalabelsRange>
                <c15:f>Main!$CI$17</c15:f>
                <c15:dlblRangeCache>
                  <c:ptCount val="1"/>
                  <c:pt idx="0">
                    <c:v>LCL</c:v>
                  </c:pt>
                </c15:dlblRangeCache>
              </c15:datalabelsRange>
            </c:ext>
            <c:ext xmlns:c16="http://schemas.microsoft.com/office/drawing/2014/chart" uri="{C3380CC4-5D6E-409C-BE32-E72D297353CC}">
              <c16:uniqueId val="{00000006-6072-4BD8-93F7-7CD41F1CB47D}"/>
            </c:ext>
          </c:extLst>
        </c:ser>
        <c:ser>
          <c:idx val="12"/>
          <c:order val="2"/>
          <c:tx>
            <c:strRef>
              <c:f>Main!$CO$18</c:f>
              <c:strCache>
                <c:ptCount val="1"/>
                <c:pt idx="0">
                  <c:v>ExtLCL</c:v>
                </c:pt>
              </c:strCache>
            </c:strRef>
          </c:tx>
          <c:spPr>
            <a:ln w="9525" cap="rnd">
              <a:solidFill>
                <a:schemeClr val="bg1">
                  <a:lumMod val="85000"/>
                </a:schemeClr>
              </a:solidFill>
              <a:round/>
            </a:ln>
            <a:effectLst/>
          </c:spPr>
          <c:marker>
            <c:symbol val="none"/>
          </c:marker>
          <c:val>
            <c:numRef>
              <c:f>Main!$CO$19:$CO$20</c:f>
              <c:numCache>
                <c:formatCode>General</c:formatCode>
                <c:ptCount val="2"/>
                <c:pt idx="0">
                  <c:v>#N/A</c:v>
                </c:pt>
                <c:pt idx="1">
                  <c:v>#N/A</c:v>
                </c:pt>
              </c:numCache>
            </c:numRef>
          </c:val>
          <c:smooth val="0"/>
          <c:extLst>
            <c:ext xmlns:c16="http://schemas.microsoft.com/office/drawing/2014/chart" uri="{C3380CC4-5D6E-409C-BE32-E72D297353CC}">
              <c16:uniqueId val="{00000000-2BDF-4417-B7E5-DB48BFB69E74}"/>
            </c:ext>
          </c:extLst>
        </c:ser>
        <c:ser>
          <c:idx val="5"/>
          <c:order val="3"/>
          <c:tx>
            <c:strRef>
              <c:f>Main!$CH$18</c:f>
              <c:strCache>
                <c:ptCount val="1"/>
                <c:pt idx="0">
                  <c:v>CL graph</c:v>
                </c:pt>
              </c:strCache>
            </c:strRef>
          </c:tx>
          <c:spPr>
            <a:ln w="9525" cap="rnd">
              <a:solidFill>
                <a:schemeClr val="tx1"/>
              </a:solidFill>
              <a:round/>
            </a:ln>
            <a:effectLst/>
          </c:spPr>
          <c:marker>
            <c:symbol val="none"/>
          </c:marker>
          <c:cat>
            <c:numRef>
              <c:f>Main!$A$19:$A$20</c:f>
              <c:numCache>
                <c:formatCode>mmm\-yy</c:formatCode>
                <c:ptCount val="2"/>
              </c:numCache>
            </c:numRef>
          </c:cat>
          <c:val>
            <c:numRef>
              <c:f>Main!$CH$19:$CH$20</c:f>
              <c:numCache>
                <c:formatCode>0.0</c:formatCode>
                <c:ptCount val="2"/>
                <c:pt idx="0">
                  <c:v>0</c:v>
                </c:pt>
                <c:pt idx="1">
                  <c:v>0</c:v>
                </c:pt>
              </c:numCache>
            </c:numRef>
          </c:val>
          <c:smooth val="0"/>
          <c:extLst>
            <c:ext xmlns:c16="http://schemas.microsoft.com/office/drawing/2014/chart" uri="{C3380CC4-5D6E-409C-BE32-E72D297353CC}">
              <c16:uniqueId val="{00000005-6072-4BD8-93F7-7CD41F1CB47D}"/>
            </c:ext>
          </c:extLst>
        </c:ser>
        <c:ser>
          <c:idx val="7"/>
          <c:order val="4"/>
          <c:tx>
            <c:strRef>
              <c:f>Main!$CJ$18</c:f>
              <c:strCache>
                <c:ptCount val="1"/>
                <c:pt idx="0">
                  <c:v>UCL graph</c:v>
                </c:pt>
              </c:strCache>
            </c:strRef>
          </c:tx>
          <c:spPr>
            <a:ln w="9525" cap="rnd">
              <a:solidFill>
                <a:schemeClr val="tx1"/>
              </a:solidFill>
              <a:prstDash val="dash"/>
              <a:round/>
            </a:ln>
            <a:effectLst/>
          </c:spPr>
          <c:marker>
            <c:symbol val="none"/>
          </c:marker>
          <c:dLbls>
            <c:dLbl>
              <c:idx val="0"/>
              <c:layout>
                <c:manualLayout>
                  <c:x val="-1.3494574808403975E-17"/>
                  <c:y val="-4.7278965253311024E-2"/>
                </c:manualLayout>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8E78934F-7FC6-4420-BCFF-5D3B5ADD4543}" type="CELLRANGE">
                      <a:rPr lang="en-US"/>
                      <a:pPr>
                        <a:defRPr sz="600" b="0" i="0" u="none" strike="noStrike" kern="1200" baseline="0">
                          <a:solidFill>
                            <a:schemeClr val="tx1"/>
                          </a:solidFill>
                          <a:latin typeface="Arial" panose="020B0604020202020204" pitchFamily="34" charset="0"/>
                          <a:ea typeface="+mn-ea"/>
                          <a:cs typeface="+mn-cs"/>
                        </a:defRPr>
                      </a:pPr>
                      <a:t>[CELLRANGE]</a:t>
                    </a:fld>
                    <a:endParaRPr lang="en-IE"/>
                  </a:p>
                </c:rich>
              </c:tx>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10-6072-4BD8-93F7-7CD41F1CB47D}"/>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072-4BD8-93F7-7CD41F1CB47D}"/>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numRef>
              <c:f>Main!$A$19:$A$20</c:f>
              <c:numCache>
                <c:formatCode>mmm\-yy</c:formatCode>
                <c:ptCount val="2"/>
              </c:numCache>
            </c:numRef>
          </c:cat>
          <c:val>
            <c:numRef>
              <c:f>Main!$CJ$19:$CJ$20</c:f>
              <c:numCache>
                <c:formatCode>0.0</c:formatCode>
                <c:ptCount val="2"/>
                <c:pt idx="0">
                  <c:v>0</c:v>
                </c:pt>
                <c:pt idx="1">
                  <c:v>0</c:v>
                </c:pt>
              </c:numCache>
            </c:numRef>
          </c:val>
          <c:smooth val="0"/>
          <c:extLst>
            <c:ext xmlns:c15="http://schemas.microsoft.com/office/drawing/2012/chart" uri="{02D57815-91ED-43cb-92C2-25804820EDAC}">
              <c15:datalabelsRange>
                <c15:f>Main!$CJ$17</c15:f>
                <c15:dlblRangeCache>
                  <c:ptCount val="1"/>
                  <c:pt idx="0">
                    <c:v>UCL</c:v>
                  </c:pt>
                </c15:dlblRangeCache>
              </c15:datalabelsRange>
            </c:ext>
            <c:ext xmlns:c16="http://schemas.microsoft.com/office/drawing/2014/chart" uri="{C3380CC4-5D6E-409C-BE32-E72D297353CC}">
              <c16:uniqueId val="{00000007-6072-4BD8-93F7-7CD41F1CB47D}"/>
            </c:ext>
          </c:extLst>
        </c:ser>
        <c:ser>
          <c:idx val="13"/>
          <c:order val="5"/>
          <c:tx>
            <c:strRef>
              <c:f>Main!$CP$18</c:f>
              <c:strCache>
                <c:ptCount val="1"/>
                <c:pt idx="0">
                  <c:v>ExtUCL</c:v>
                </c:pt>
              </c:strCache>
            </c:strRef>
          </c:tx>
          <c:spPr>
            <a:ln w="9525" cap="rnd">
              <a:solidFill>
                <a:schemeClr val="bg1">
                  <a:lumMod val="85000"/>
                </a:schemeClr>
              </a:solidFill>
              <a:round/>
            </a:ln>
            <a:effectLst/>
          </c:spPr>
          <c:marker>
            <c:symbol val="none"/>
          </c:marker>
          <c:val>
            <c:numRef>
              <c:f>Main!$CP$19:$CP$20</c:f>
              <c:numCache>
                <c:formatCode>General</c:formatCode>
                <c:ptCount val="2"/>
                <c:pt idx="0">
                  <c:v>#N/A</c:v>
                </c:pt>
                <c:pt idx="1">
                  <c:v>#N/A</c:v>
                </c:pt>
              </c:numCache>
            </c:numRef>
          </c:val>
          <c:smooth val="0"/>
          <c:extLst>
            <c:ext xmlns:c16="http://schemas.microsoft.com/office/drawing/2014/chart" uri="{C3380CC4-5D6E-409C-BE32-E72D297353CC}">
              <c16:uniqueId val="{00000001-2BDF-4417-B7E5-DB48BFB69E74}"/>
            </c:ext>
          </c:extLst>
        </c:ser>
        <c:ser>
          <c:idx val="10"/>
          <c:order val="6"/>
          <c:tx>
            <c:strRef>
              <c:f>Main!$CM$18</c:f>
              <c:strCache>
                <c:ptCount val="1"/>
                <c:pt idx="0">
                  <c:v> Mean </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0"/>
              </c:ext>
            </c:extLst>
          </c:dLbls>
          <c:cat>
            <c:numRef>
              <c:f>Main!$A$19:$A$20</c:f>
              <c:numCache>
                <c:formatCode>mmm\-yy</c:formatCode>
                <c:ptCount val="2"/>
              </c:numCache>
            </c:numRef>
          </c:cat>
          <c:val>
            <c:numRef>
              <c:f>Main!$CM$19:$CM$20</c:f>
              <c:numCache>
                <c:formatCode>General</c:formatCode>
                <c:ptCount val="2"/>
                <c:pt idx="0">
                  <c:v>#N/A</c:v>
                </c:pt>
                <c:pt idx="1">
                  <c:v>0</c:v>
                </c:pt>
              </c:numCache>
            </c:numRef>
          </c:val>
          <c:smooth val="0"/>
          <c:extLst>
            <c:ext xmlns:c16="http://schemas.microsoft.com/office/drawing/2014/chart" uri="{C3380CC4-5D6E-409C-BE32-E72D297353CC}">
              <c16:uniqueId val="{0000000A-6072-4BD8-93F7-7CD41F1CB47D}"/>
            </c:ext>
          </c:extLst>
        </c:ser>
        <c:ser>
          <c:idx val="8"/>
          <c:order val="7"/>
          <c:tx>
            <c:strRef>
              <c:f>Main!$CK$18</c:f>
              <c:strCache>
                <c:ptCount val="1"/>
                <c:pt idx="0">
                  <c:v>Targ.</c:v>
                </c:pt>
              </c:strCache>
            </c:strRef>
          </c:tx>
          <c:spPr>
            <a:ln w="22225" cap="rnd">
              <a:solidFill>
                <a:srgbClr val="00B050"/>
              </a:solidFill>
              <a:prstDash val="sysDot"/>
              <a:round/>
            </a:ln>
            <a:effectLst/>
          </c:spPr>
          <c:marker>
            <c:symbol val="none"/>
          </c:marker>
          <c:cat>
            <c:numRef>
              <c:f>Main!$A$19:$A$20</c:f>
              <c:numCache>
                <c:formatCode>mmm\-yy</c:formatCode>
                <c:ptCount val="2"/>
              </c:numCache>
            </c:numRef>
          </c:cat>
          <c:val>
            <c:numRef>
              <c:f>Main!$CK$19:$CK$20</c:f>
              <c:numCache>
                <c:formatCode>0%</c:formatCode>
                <c:ptCount val="2"/>
                <c:pt idx="0">
                  <c:v>2</c:v>
                </c:pt>
                <c:pt idx="1">
                  <c:v>2</c:v>
                </c:pt>
              </c:numCache>
            </c:numRef>
          </c:val>
          <c:smooth val="0"/>
          <c:extLst>
            <c:ext xmlns:c16="http://schemas.microsoft.com/office/drawing/2014/chart" uri="{C3380CC4-5D6E-409C-BE32-E72D297353CC}">
              <c16:uniqueId val="{00000008-6072-4BD8-93F7-7CD41F1CB47D}"/>
            </c:ext>
          </c:extLst>
        </c:ser>
        <c:ser>
          <c:idx val="9"/>
          <c:order val="8"/>
          <c:tx>
            <c:strRef>
              <c:f>Main!$CL$18</c:f>
              <c:strCache>
                <c:ptCount val="1"/>
                <c:pt idx="0">
                  <c:v>Target</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ln w="1270">
                      <a:solidFill>
                        <a:srgbClr val="00B050"/>
                      </a:solidFill>
                    </a:ln>
                    <a:solidFill>
                      <a:srgbClr val="00B050"/>
                    </a:solidFill>
                    <a:latin typeface="Arial" panose="020B0604020202020204" pitchFamily="34" charset="0"/>
                    <a:ea typeface="+mn-ea"/>
                    <a:cs typeface="+mn-cs"/>
                  </a:defRPr>
                </a:pPr>
                <a:endParaRPr lang="en-US"/>
              </a:p>
            </c:txPr>
            <c:dLblPos val="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Main!$A$19:$A$20</c:f>
              <c:numCache>
                <c:formatCode>mmm\-yy</c:formatCode>
                <c:ptCount val="2"/>
              </c:numCache>
            </c:numRef>
          </c:cat>
          <c:val>
            <c:numRef>
              <c:f>Main!$CL$19:$CL$20</c:f>
              <c:numCache>
                <c:formatCode>General</c:formatCode>
                <c:ptCount val="2"/>
                <c:pt idx="0">
                  <c:v>#N/A</c:v>
                </c:pt>
                <c:pt idx="1">
                  <c:v>2</c:v>
                </c:pt>
              </c:numCache>
            </c:numRef>
          </c:val>
          <c:smooth val="0"/>
          <c:extLst>
            <c:ext xmlns:c16="http://schemas.microsoft.com/office/drawing/2014/chart" uri="{C3380CC4-5D6E-409C-BE32-E72D297353CC}">
              <c16:uniqueId val="{00000009-6072-4BD8-93F7-7CD41F1CB47D}"/>
            </c:ext>
          </c:extLst>
        </c:ser>
        <c:ser>
          <c:idx val="3"/>
          <c:order val="9"/>
          <c:tx>
            <c:strRef>
              <c:f>Main!$CF$18</c:f>
              <c:strCache>
                <c:ptCount val="1"/>
                <c:pt idx="0">
                  <c:v>DP graph line</c:v>
                </c:pt>
              </c:strCache>
            </c:strRef>
          </c:tx>
          <c:spPr>
            <a:ln w="9525" cap="rnd">
              <a:solidFill>
                <a:schemeClr val="bg1">
                  <a:lumMod val="50000"/>
                </a:schemeClr>
              </a:solid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Main!$CF$19:$CF$20</c:f>
              <c:numCache>
                <c:formatCode>General</c:formatCode>
                <c:ptCount val="2"/>
                <c:pt idx="0">
                  <c:v>#N/A</c:v>
                </c:pt>
                <c:pt idx="1">
                  <c:v>#N/A</c:v>
                </c:pt>
              </c:numCache>
            </c:numRef>
          </c:val>
          <c:smooth val="0"/>
          <c:extLst>
            <c:ext xmlns:c16="http://schemas.microsoft.com/office/drawing/2014/chart" uri="{C3380CC4-5D6E-409C-BE32-E72D297353CC}">
              <c16:uniqueId val="{00000003-6072-4BD8-93F7-7CD41F1CB47D}"/>
            </c:ext>
          </c:extLst>
        </c:ser>
        <c:ser>
          <c:idx val="4"/>
          <c:order val="10"/>
          <c:tx>
            <c:strRef>
              <c:f>Main!$CG$18</c:f>
              <c:strCache>
                <c:ptCount val="1"/>
                <c:pt idx="0">
                  <c:v>DP graph funnel</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Main!$CG$19:$CG$20</c:f>
              <c:numCache>
                <c:formatCode>General</c:formatCode>
                <c:ptCount val="2"/>
                <c:pt idx="0">
                  <c:v>#N/A</c:v>
                </c:pt>
                <c:pt idx="1">
                  <c:v>#N/A</c:v>
                </c:pt>
              </c:numCache>
            </c:numRef>
          </c:val>
          <c:smooth val="0"/>
          <c:extLst>
            <c:ext xmlns:c16="http://schemas.microsoft.com/office/drawing/2014/chart" uri="{C3380CC4-5D6E-409C-BE32-E72D297353CC}">
              <c16:uniqueId val="{00000004-6072-4BD8-93F7-7CD41F1CB47D}"/>
            </c:ext>
          </c:extLst>
        </c:ser>
        <c:ser>
          <c:idx val="1"/>
          <c:order val="11"/>
          <c:tx>
            <c:strRef>
              <c:f>Main!$CC$18</c:f>
              <c:strCache>
                <c:ptCount val="1"/>
                <c:pt idx="0">
                  <c:v>Manual 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Main!$CC$19:$CC$20</c:f>
              <c:numCache>
                <c:formatCode>General</c:formatCode>
                <c:ptCount val="2"/>
                <c:pt idx="0">
                  <c:v>#N/A</c:v>
                </c:pt>
                <c:pt idx="1">
                  <c:v>#N/A</c:v>
                </c:pt>
              </c:numCache>
            </c:numRef>
          </c:val>
          <c:smooth val="0"/>
          <c:extLst>
            <c:ext xmlns:c16="http://schemas.microsoft.com/office/drawing/2014/chart" uri="{C3380CC4-5D6E-409C-BE32-E72D297353CC}">
              <c16:uniqueId val="{00000001-6072-4BD8-93F7-7CD41F1CB47D}"/>
            </c:ext>
          </c:extLst>
        </c:ser>
        <c:ser>
          <c:idx val="0"/>
          <c:order val="12"/>
          <c:tx>
            <c:strRef>
              <c:f>Main!$CA$18</c:f>
              <c:strCache>
                <c:ptCount val="1"/>
                <c:pt idx="0">
                  <c:v>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Main!$CA$19:$CA$20</c:f>
              <c:numCache>
                <c:formatCode>General</c:formatCode>
                <c:ptCount val="2"/>
                <c:pt idx="0">
                  <c:v>0</c:v>
                </c:pt>
                <c:pt idx="1">
                  <c:v>0</c:v>
                </c:pt>
              </c:numCache>
            </c:numRef>
          </c:val>
          <c:smooth val="0"/>
          <c:extLst>
            <c:ext xmlns:c16="http://schemas.microsoft.com/office/drawing/2014/chart" uri="{C3380CC4-5D6E-409C-BE32-E72D297353CC}">
              <c16:uniqueId val="{00000000-6072-4BD8-93F7-7CD41F1CB47D}"/>
            </c:ext>
          </c:extLst>
        </c:ser>
        <c:ser>
          <c:idx val="2"/>
          <c:order val="13"/>
          <c:tx>
            <c:strRef>
              <c:f>Main!$CE$18</c:f>
              <c:strCache>
                <c:ptCount val="1"/>
                <c:pt idx="0">
                  <c:v>Manual blue</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Main!$CE$19:$CE$20</c:f>
              <c:numCache>
                <c:formatCode>General</c:formatCode>
                <c:ptCount val="2"/>
                <c:pt idx="0">
                  <c:v>#N/A</c:v>
                </c:pt>
                <c:pt idx="1">
                  <c:v>#N/A</c:v>
                </c:pt>
              </c:numCache>
            </c:numRef>
          </c:val>
          <c:smooth val="0"/>
          <c:extLst>
            <c:ext xmlns:c16="http://schemas.microsoft.com/office/drawing/2014/chart" uri="{C3380CC4-5D6E-409C-BE32-E72D297353CC}">
              <c16:uniqueId val="{00000002-6072-4BD8-93F7-7CD41F1CB47D}"/>
            </c:ext>
          </c:extLst>
        </c:ser>
        <c:dLbls>
          <c:showLegendKey val="0"/>
          <c:showVal val="0"/>
          <c:showCatName val="0"/>
          <c:showSerName val="0"/>
          <c:showPercent val="0"/>
          <c:showBubbleSize val="0"/>
        </c:dLbls>
        <c:marker val="1"/>
        <c:smooth val="0"/>
        <c:axId val="652955216"/>
        <c:axId val="652952592"/>
      </c:lineChart>
      <c:catAx>
        <c:axId val="652955216"/>
        <c:scaling>
          <c:orientation val="minMax"/>
        </c:scaling>
        <c:delete val="0"/>
        <c:axPos val="b"/>
        <c:numFmt formatCode="mmm\-yy"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2592"/>
        <c:crosses val="autoZero"/>
        <c:auto val="0"/>
        <c:lblAlgn val="ctr"/>
        <c:lblOffset val="100"/>
        <c:noMultiLvlLbl val="0"/>
      </c:catAx>
      <c:valAx>
        <c:axId val="652952592"/>
        <c:scaling>
          <c:orientation val="minMax"/>
        </c:scaling>
        <c:delete val="0"/>
        <c:axPos val="l"/>
        <c:majorGridlines>
          <c:spPr>
            <a:ln w="9525" cap="flat" cmpd="sng" algn="ctr">
              <a:noFill/>
              <a:round/>
            </a:ln>
            <a:effectLst/>
          </c:spPr>
        </c:majorGridlines>
        <c:title>
          <c:tx>
            <c:strRef>
              <c:f>Main!$T$2</c:f>
              <c:strCache>
                <c:ptCount val="1"/>
                <c:pt idx="0">
                  <c:v>Percentage</c:v>
                </c:pt>
              </c:strCache>
            </c:strRef>
          </c:tx>
          <c:layout/>
          <c:overlay val="0"/>
          <c:spPr>
            <a:noFill/>
            <a:ln>
              <a:noFill/>
            </a:ln>
            <a:effectLst/>
          </c:spPr>
          <c:txPr>
            <a:bodyPr rot="-540000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0.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5216"/>
        <c:crosses val="autoZero"/>
        <c:crossBetween val="between"/>
      </c:valAx>
      <c:valAx>
        <c:axId val="615579896"/>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solidFill>
                <a:latin typeface="Arial" panose="020B0604020202020204" pitchFamily="34" charset="0"/>
                <a:ea typeface="+mn-ea"/>
                <a:cs typeface="+mn-cs"/>
              </a:defRPr>
            </a:pPr>
            <a:endParaRPr lang="en-US"/>
          </a:p>
        </c:txPr>
        <c:crossAx val="615581536"/>
        <c:crosses val="max"/>
        <c:crossBetween val="between"/>
        <c:majorUnit val="1"/>
      </c:valAx>
      <c:catAx>
        <c:axId val="615581536"/>
        <c:scaling>
          <c:orientation val="minMax"/>
        </c:scaling>
        <c:delete val="1"/>
        <c:axPos val="b"/>
        <c:numFmt formatCode="mmm\-yy" sourceLinked="1"/>
        <c:majorTickMark val="out"/>
        <c:minorTickMark val="none"/>
        <c:tickLblPos val="nextTo"/>
        <c:crossAx val="615579896"/>
        <c:crosses val="autoZero"/>
        <c:auto val="0"/>
        <c:lblAlgn val="ctr"/>
        <c:lblOffset val="100"/>
        <c:tickLblSkip val="1"/>
        <c:tickMarkSkip val="1"/>
        <c:noMultiLvlLbl val="1"/>
      </c:catAx>
      <c:spPr>
        <a:noFill/>
        <a:ln>
          <a:noFill/>
        </a:ln>
        <a:effectLst/>
      </c:spPr>
    </c:plotArea>
    <c:plotVisOnly val="1"/>
    <c:dispBlanksAs val="gap"/>
    <c:showDLblsOverMax val="0"/>
  </c:chart>
  <c:spPr>
    <a:solidFill>
      <a:schemeClr val="bg1"/>
    </a:solidFill>
    <a:ln w="3175" cap="flat" cmpd="sng" algn="ctr">
      <a:solidFill>
        <a:schemeClr val="bg1">
          <a:lumMod val="95000"/>
        </a:schemeClr>
      </a:solidFill>
      <a:round/>
    </a:ln>
    <a:effectLst/>
  </c:spPr>
  <c:txPr>
    <a:bodyPr/>
    <a:lstStyle/>
    <a:p>
      <a:pPr>
        <a:defRPr sz="600" baseline="0">
          <a:solidFill>
            <a:schemeClr val="tx1"/>
          </a:solidFill>
          <a:latin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Main!$C$12</c:f>
          <c:strCache>
            <c:ptCount val="1"/>
            <c:pt idx="0">
              <c:v>e.g. Percentage of people &gt;75years admitted or discharged from ED in &lt;6h</c:v>
            </c:pt>
          </c:strCache>
        </c:strRef>
      </c:tx>
      <c:layout/>
      <c:overlay val="1"/>
      <c:spPr>
        <a:noFill/>
        <a:ln>
          <a:noFill/>
        </a:ln>
        <a:effectLst/>
      </c:spPr>
      <c:txPr>
        <a:bodyPr rot="0" spcFirstLastPara="1" vertOverflow="ellipsis" vert="horz" wrap="square" anchor="ctr" anchorCtr="1"/>
        <a:lstStyle/>
        <a:p>
          <a:pPr>
            <a:defRPr sz="720" b="1" i="0" u="none" strike="noStrike" kern="1200" spc="0" baseline="0">
              <a:solidFill>
                <a:schemeClr val="tx1"/>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8.9164814814814822E-2"/>
          <c:y val="0.19512625092986374"/>
          <c:w val="0.83146018518518516"/>
          <c:h val="0.51169593105674627"/>
        </c:manualLayout>
      </c:layout>
      <c:barChart>
        <c:barDir val="col"/>
        <c:grouping val="clustered"/>
        <c:varyColors val="0"/>
        <c:ser>
          <c:idx val="11"/>
          <c:order val="0"/>
          <c:tx>
            <c:strRef>
              <c:f>Main!$CN$18</c:f>
              <c:strCache>
                <c:ptCount val="1"/>
                <c:pt idx="0">
                  <c:v>Err</c:v>
                </c:pt>
              </c:strCache>
            </c:strRef>
          </c:tx>
          <c:spPr>
            <a:pattFill prst="dkUpDiag">
              <a:fgClr>
                <a:srgbClr val="FF0000"/>
              </a:fgClr>
              <a:bgClr>
                <a:schemeClr val="bg1"/>
              </a:bgClr>
            </a:pattFill>
            <a:ln>
              <a:noFill/>
            </a:ln>
            <a:effectLst/>
          </c:spPr>
          <c:invertIfNegative val="0"/>
          <c:cat>
            <c:numRef>
              <c:f>Main!$A$19:$A$20</c:f>
              <c:numCache>
                <c:formatCode>mmm\-yy</c:formatCode>
                <c:ptCount val="2"/>
              </c:numCache>
            </c:numRef>
          </c:cat>
          <c:val>
            <c:numRef>
              <c:f>Main!$CN$19:$CN$20</c:f>
              <c:numCache>
                <c:formatCode>General</c:formatCode>
                <c:ptCount val="2"/>
                <c:pt idx="0">
                  <c:v>1</c:v>
                </c:pt>
                <c:pt idx="1">
                  <c:v>1</c:v>
                </c:pt>
              </c:numCache>
            </c:numRef>
          </c:val>
          <c:extLst>
            <c:ext xmlns:c16="http://schemas.microsoft.com/office/drawing/2014/chart" uri="{C3380CC4-5D6E-409C-BE32-E72D297353CC}">
              <c16:uniqueId val="{00000000-6CAA-4752-B7C3-93ED7A04AE82}"/>
            </c:ext>
          </c:extLst>
        </c:ser>
        <c:dLbls>
          <c:showLegendKey val="0"/>
          <c:showVal val="0"/>
          <c:showCatName val="0"/>
          <c:showSerName val="0"/>
          <c:showPercent val="0"/>
          <c:showBubbleSize val="0"/>
        </c:dLbls>
        <c:gapWidth val="0"/>
        <c:axId val="615581536"/>
        <c:axId val="615579896"/>
      </c:barChart>
      <c:lineChart>
        <c:grouping val="standard"/>
        <c:varyColors val="0"/>
        <c:ser>
          <c:idx val="6"/>
          <c:order val="1"/>
          <c:tx>
            <c:strRef>
              <c:f>Main!$CI$18</c:f>
              <c:strCache>
                <c:ptCount val="1"/>
                <c:pt idx="0">
                  <c:v>LCL graph</c:v>
                </c:pt>
              </c:strCache>
            </c:strRef>
          </c:tx>
          <c:spPr>
            <a:ln w="9525" cap="rnd">
              <a:solidFill>
                <a:schemeClr val="tx1"/>
              </a:solidFill>
              <a:prstDash val="dash"/>
              <a:round/>
            </a:ln>
            <a:effectLst/>
          </c:spPr>
          <c:marker>
            <c:symbol val="none"/>
          </c:marker>
          <c:dLbls>
            <c:dLbl>
              <c:idx val="0"/>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FDCEF9AF-0703-45AC-AD64-B81F25F84899}" type="CELLRANGE">
                      <a:rPr lang="en-IE"/>
                      <a:pPr>
                        <a:defRPr/>
                      </a:pPr>
                      <a:t>[CELLRANGE]</a:t>
                    </a:fld>
                    <a:endParaRPr lang="en-IE"/>
                  </a:p>
                </c:rich>
              </c:tx>
              <c:spPr>
                <a:solidFill>
                  <a:schemeClr val="bg1"/>
                </a:solid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15:dlblFieldTable/>
                  <c15:xForSave val="1"/>
                  <c15:showDataLabelsRange val="1"/>
                </c:ext>
                <c:ext xmlns:c16="http://schemas.microsoft.com/office/drawing/2014/chart" uri="{C3380CC4-5D6E-409C-BE32-E72D297353CC}">
                  <c16:uniqueId val="{00000001-6CAA-4752-B7C3-93ED7A04AE82}"/>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CAA-4752-B7C3-93ED7A04AE82}"/>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DataLabelsRange val="1"/>
                <c15:showLeaderLines val="0"/>
              </c:ext>
            </c:extLst>
          </c:dLbls>
          <c:cat>
            <c:numRef>
              <c:f>Main!$A$19:$A$20</c:f>
              <c:numCache>
                <c:formatCode>mmm\-yy</c:formatCode>
                <c:ptCount val="2"/>
              </c:numCache>
            </c:numRef>
          </c:cat>
          <c:val>
            <c:numRef>
              <c:f>Main!$CI$19:$CI$20</c:f>
              <c:numCache>
                <c:formatCode>0.0</c:formatCode>
                <c:ptCount val="2"/>
                <c:pt idx="0">
                  <c:v>0</c:v>
                </c:pt>
                <c:pt idx="1">
                  <c:v>0</c:v>
                </c:pt>
              </c:numCache>
            </c:numRef>
          </c:val>
          <c:smooth val="0"/>
          <c:extLst>
            <c:ext xmlns:c15="http://schemas.microsoft.com/office/drawing/2012/chart" uri="{02D57815-91ED-43cb-92C2-25804820EDAC}">
              <c15:datalabelsRange>
                <c15:f>Main!$CI$17</c15:f>
                <c15:dlblRangeCache>
                  <c:ptCount val="1"/>
                  <c:pt idx="0">
                    <c:v>LCL</c:v>
                  </c:pt>
                </c15:dlblRangeCache>
              </c15:datalabelsRange>
            </c:ext>
            <c:ext xmlns:c16="http://schemas.microsoft.com/office/drawing/2014/chart" uri="{C3380CC4-5D6E-409C-BE32-E72D297353CC}">
              <c16:uniqueId val="{00000016-6CAA-4752-B7C3-93ED7A04AE82}"/>
            </c:ext>
          </c:extLst>
        </c:ser>
        <c:ser>
          <c:idx val="5"/>
          <c:order val="2"/>
          <c:tx>
            <c:strRef>
              <c:f>Main!$CH$18</c:f>
              <c:strCache>
                <c:ptCount val="1"/>
                <c:pt idx="0">
                  <c:v>CL graph</c:v>
                </c:pt>
              </c:strCache>
            </c:strRef>
          </c:tx>
          <c:spPr>
            <a:ln w="9525" cap="rnd">
              <a:solidFill>
                <a:schemeClr val="tx1"/>
              </a:solidFill>
              <a:round/>
            </a:ln>
            <a:effectLst/>
          </c:spPr>
          <c:marker>
            <c:symbol val="none"/>
          </c:marker>
          <c:cat>
            <c:numRef>
              <c:f>Main!$A$19:$A$20</c:f>
              <c:numCache>
                <c:formatCode>mmm\-yy</c:formatCode>
                <c:ptCount val="2"/>
              </c:numCache>
            </c:numRef>
          </c:cat>
          <c:val>
            <c:numRef>
              <c:f>Main!$CH$19:$CH$20</c:f>
              <c:numCache>
                <c:formatCode>0.0</c:formatCode>
                <c:ptCount val="2"/>
                <c:pt idx="0">
                  <c:v>0</c:v>
                </c:pt>
                <c:pt idx="1">
                  <c:v>0</c:v>
                </c:pt>
              </c:numCache>
            </c:numRef>
          </c:val>
          <c:smooth val="0"/>
          <c:extLst>
            <c:ext xmlns:c16="http://schemas.microsoft.com/office/drawing/2014/chart" uri="{C3380CC4-5D6E-409C-BE32-E72D297353CC}">
              <c16:uniqueId val="{00000017-6CAA-4752-B7C3-93ED7A04AE82}"/>
            </c:ext>
          </c:extLst>
        </c:ser>
        <c:ser>
          <c:idx val="12"/>
          <c:order val="3"/>
          <c:tx>
            <c:strRef>
              <c:f>Main!$CO$18</c:f>
              <c:strCache>
                <c:ptCount val="1"/>
                <c:pt idx="0">
                  <c:v>ExtLCL</c:v>
                </c:pt>
              </c:strCache>
            </c:strRef>
          </c:tx>
          <c:spPr>
            <a:ln w="9525" cap="rnd">
              <a:solidFill>
                <a:schemeClr val="bg1">
                  <a:lumMod val="85000"/>
                </a:schemeClr>
              </a:solidFill>
              <a:prstDash val="solid"/>
              <a:round/>
            </a:ln>
            <a:effectLst/>
          </c:spPr>
          <c:marker>
            <c:symbol val="none"/>
          </c:marker>
          <c:val>
            <c:numRef>
              <c:f>Main!$CO$19:$CO$20</c:f>
              <c:numCache>
                <c:formatCode>General</c:formatCode>
                <c:ptCount val="2"/>
                <c:pt idx="0">
                  <c:v>#N/A</c:v>
                </c:pt>
                <c:pt idx="1">
                  <c:v>#N/A</c:v>
                </c:pt>
              </c:numCache>
            </c:numRef>
          </c:val>
          <c:smooth val="0"/>
          <c:extLst>
            <c:ext xmlns:c16="http://schemas.microsoft.com/office/drawing/2014/chart" uri="{C3380CC4-5D6E-409C-BE32-E72D297353CC}">
              <c16:uniqueId val="{00000000-4305-4199-8E86-18990714B42C}"/>
            </c:ext>
          </c:extLst>
        </c:ser>
        <c:ser>
          <c:idx val="7"/>
          <c:order val="4"/>
          <c:tx>
            <c:strRef>
              <c:f>Main!$CJ$18</c:f>
              <c:strCache>
                <c:ptCount val="1"/>
                <c:pt idx="0">
                  <c:v>UCL graph</c:v>
                </c:pt>
              </c:strCache>
            </c:strRef>
          </c:tx>
          <c:spPr>
            <a:ln w="9525" cap="rnd">
              <a:solidFill>
                <a:schemeClr val="tx1"/>
              </a:solidFill>
              <a:prstDash val="dash"/>
              <a:round/>
            </a:ln>
            <a:effectLst/>
          </c:spPr>
          <c:marker>
            <c:symbol val="none"/>
          </c:marker>
          <c:dLbls>
            <c:dLbl>
              <c:idx val="0"/>
              <c:layout>
                <c:manualLayout>
                  <c:x val="-5.8672283190321431E-3"/>
                  <c:y val="-1.4532156114261686E-2"/>
                </c:manualLayout>
              </c:layout>
              <c:tx>
                <c:rich>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fld id="{E841EBDE-5FDF-4F28-8CDC-F4D4E2BF9AB0}" type="CELLRANGE">
                      <a:rPr lang="en-US"/>
                      <a:pPr>
                        <a:defRPr/>
                      </a:pPr>
                      <a:t>[CELLRANGE]</a:t>
                    </a:fld>
                    <a:endParaRPr lang="en-IE"/>
                  </a:p>
                </c:rich>
              </c:tx>
              <c:spPr>
                <a:solidFill>
                  <a:schemeClr val="bg1"/>
                </a:solid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15:dlblFieldTable/>
                  <c15:showDataLabelsRange val="1"/>
                </c:ext>
                <c:ext xmlns:c16="http://schemas.microsoft.com/office/drawing/2014/chart" uri="{C3380CC4-5D6E-409C-BE32-E72D297353CC}">
                  <c16:uniqueId val="{00000018-6CAA-4752-B7C3-93ED7A04AE82}"/>
                </c:ext>
              </c:extLst>
            </c:dLbl>
            <c:dLbl>
              <c:idx val="1"/>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CAA-4752-B7C3-93ED7A04AE82}"/>
                </c:ext>
              </c:extLst>
            </c:dLbl>
            <c:spPr>
              <a:noFill/>
              <a:ln>
                <a:noFill/>
              </a:ln>
              <a:effectLst/>
            </c:spPr>
            <c:txPr>
              <a:bodyPr rot="0" spcFirstLastPara="1" vertOverflow="ellipsis" vert="horz" wrap="square" lIns="0" tIns="0" rIns="0" bIns="0"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cat>
            <c:numRef>
              <c:f>Main!$A$19:$A$20</c:f>
              <c:numCache>
                <c:formatCode>mmm\-yy</c:formatCode>
                <c:ptCount val="2"/>
              </c:numCache>
            </c:numRef>
          </c:cat>
          <c:val>
            <c:numRef>
              <c:f>Main!$CJ$19:$CJ$20</c:f>
              <c:numCache>
                <c:formatCode>0.0</c:formatCode>
                <c:ptCount val="2"/>
                <c:pt idx="0">
                  <c:v>0</c:v>
                </c:pt>
                <c:pt idx="1">
                  <c:v>0</c:v>
                </c:pt>
              </c:numCache>
            </c:numRef>
          </c:val>
          <c:smooth val="0"/>
          <c:extLst>
            <c:ext xmlns:c15="http://schemas.microsoft.com/office/drawing/2012/chart" uri="{02D57815-91ED-43cb-92C2-25804820EDAC}">
              <c15:datalabelsRange>
                <c15:f>Main!$CJ$17</c15:f>
                <c15:dlblRangeCache>
                  <c:ptCount val="1"/>
                  <c:pt idx="0">
                    <c:v>UCL</c:v>
                  </c:pt>
                </c15:dlblRangeCache>
              </c15:datalabelsRange>
            </c:ext>
            <c:ext xmlns:c16="http://schemas.microsoft.com/office/drawing/2014/chart" uri="{C3380CC4-5D6E-409C-BE32-E72D297353CC}">
              <c16:uniqueId val="{0000002D-6CAA-4752-B7C3-93ED7A04AE82}"/>
            </c:ext>
          </c:extLst>
        </c:ser>
        <c:ser>
          <c:idx val="13"/>
          <c:order val="5"/>
          <c:tx>
            <c:strRef>
              <c:f>Main!$CP$18</c:f>
              <c:strCache>
                <c:ptCount val="1"/>
                <c:pt idx="0">
                  <c:v>ExtUCL</c:v>
                </c:pt>
              </c:strCache>
            </c:strRef>
          </c:tx>
          <c:spPr>
            <a:ln w="9525" cap="rnd">
              <a:solidFill>
                <a:schemeClr val="bg1">
                  <a:lumMod val="85000"/>
                </a:schemeClr>
              </a:solidFill>
              <a:prstDash val="solid"/>
              <a:round/>
            </a:ln>
            <a:effectLst/>
          </c:spPr>
          <c:marker>
            <c:symbol val="none"/>
          </c:marker>
          <c:val>
            <c:numRef>
              <c:f>Main!$CP$19:$CP$20</c:f>
              <c:numCache>
                <c:formatCode>General</c:formatCode>
                <c:ptCount val="2"/>
                <c:pt idx="0">
                  <c:v>#N/A</c:v>
                </c:pt>
                <c:pt idx="1">
                  <c:v>#N/A</c:v>
                </c:pt>
              </c:numCache>
            </c:numRef>
          </c:val>
          <c:smooth val="0"/>
          <c:extLst>
            <c:ext xmlns:c16="http://schemas.microsoft.com/office/drawing/2014/chart" uri="{C3380CC4-5D6E-409C-BE32-E72D297353CC}">
              <c16:uniqueId val="{00000001-4305-4199-8E86-18990714B42C}"/>
            </c:ext>
          </c:extLst>
        </c:ser>
        <c:ser>
          <c:idx val="10"/>
          <c:order val="6"/>
          <c:tx>
            <c:strRef>
              <c:f>Main!$CM$18</c:f>
              <c:strCache>
                <c:ptCount val="1"/>
                <c:pt idx="0">
                  <c:v> Mean </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0"/>
              </c:ext>
            </c:extLst>
          </c:dLbls>
          <c:cat>
            <c:numRef>
              <c:f>Main!$A$19:$A$20</c:f>
              <c:numCache>
                <c:formatCode>mmm\-yy</c:formatCode>
                <c:ptCount val="2"/>
              </c:numCache>
            </c:numRef>
          </c:cat>
          <c:val>
            <c:numRef>
              <c:f>Main!$CM$19:$CM$20</c:f>
              <c:numCache>
                <c:formatCode>General</c:formatCode>
                <c:ptCount val="2"/>
                <c:pt idx="0">
                  <c:v>#N/A</c:v>
                </c:pt>
                <c:pt idx="1">
                  <c:v>0</c:v>
                </c:pt>
              </c:numCache>
            </c:numRef>
          </c:val>
          <c:smooth val="0"/>
          <c:extLst>
            <c:ext xmlns:c16="http://schemas.microsoft.com/office/drawing/2014/chart" uri="{C3380CC4-5D6E-409C-BE32-E72D297353CC}">
              <c16:uniqueId val="{0000002F-6CAA-4752-B7C3-93ED7A04AE82}"/>
            </c:ext>
          </c:extLst>
        </c:ser>
        <c:ser>
          <c:idx val="8"/>
          <c:order val="7"/>
          <c:tx>
            <c:strRef>
              <c:f>Main!$CK$18</c:f>
              <c:strCache>
                <c:ptCount val="1"/>
                <c:pt idx="0">
                  <c:v>Targ.</c:v>
                </c:pt>
              </c:strCache>
            </c:strRef>
          </c:tx>
          <c:spPr>
            <a:ln w="22225" cap="rnd">
              <a:solidFill>
                <a:srgbClr val="00B050"/>
              </a:solidFill>
              <a:prstDash val="sysDot"/>
              <a:round/>
            </a:ln>
            <a:effectLst/>
          </c:spPr>
          <c:marker>
            <c:symbol val="none"/>
          </c:marker>
          <c:cat>
            <c:numRef>
              <c:f>Main!$A$19:$A$20</c:f>
              <c:numCache>
                <c:formatCode>mmm\-yy</c:formatCode>
                <c:ptCount val="2"/>
              </c:numCache>
            </c:numRef>
          </c:cat>
          <c:val>
            <c:numRef>
              <c:f>Main!$CK$19:$CK$20</c:f>
              <c:numCache>
                <c:formatCode>0%</c:formatCode>
                <c:ptCount val="2"/>
                <c:pt idx="0">
                  <c:v>2</c:v>
                </c:pt>
                <c:pt idx="1">
                  <c:v>2</c:v>
                </c:pt>
              </c:numCache>
            </c:numRef>
          </c:val>
          <c:smooth val="0"/>
          <c:extLst>
            <c:ext xmlns:c16="http://schemas.microsoft.com/office/drawing/2014/chart" uri="{C3380CC4-5D6E-409C-BE32-E72D297353CC}">
              <c16:uniqueId val="{00000030-6CAA-4752-B7C3-93ED7A04AE82}"/>
            </c:ext>
          </c:extLst>
        </c:ser>
        <c:ser>
          <c:idx val="9"/>
          <c:order val="8"/>
          <c:tx>
            <c:strRef>
              <c:f>Main!$CL$18</c:f>
              <c:strCache>
                <c:ptCount val="1"/>
                <c:pt idx="0">
                  <c:v>Target</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ln w="1270">
                      <a:solidFill>
                        <a:srgbClr val="00B050"/>
                      </a:solidFill>
                    </a:ln>
                    <a:solidFill>
                      <a:srgbClr val="00B050"/>
                    </a:solidFill>
                    <a:latin typeface="Arial" panose="020B0604020202020204" pitchFamily="34" charset="0"/>
                    <a:ea typeface="+mn-ea"/>
                    <a:cs typeface="+mn-cs"/>
                  </a:defRPr>
                </a:pPr>
                <a:endParaRPr lang="en-US"/>
              </a:p>
            </c:txPr>
            <c:dLblPos val="r"/>
            <c:showLegendKey val="0"/>
            <c:showVal val="1"/>
            <c:showCatName val="0"/>
            <c:showSerName val="1"/>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Main!$A$19:$A$20</c:f>
              <c:numCache>
                <c:formatCode>mmm\-yy</c:formatCode>
                <c:ptCount val="2"/>
              </c:numCache>
            </c:numRef>
          </c:cat>
          <c:val>
            <c:numRef>
              <c:f>Main!$CL$19:$CL$20</c:f>
              <c:numCache>
                <c:formatCode>General</c:formatCode>
                <c:ptCount val="2"/>
                <c:pt idx="0">
                  <c:v>#N/A</c:v>
                </c:pt>
                <c:pt idx="1">
                  <c:v>2</c:v>
                </c:pt>
              </c:numCache>
            </c:numRef>
          </c:val>
          <c:smooth val="0"/>
          <c:extLst>
            <c:ext xmlns:c16="http://schemas.microsoft.com/office/drawing/2014/chart" uri="{C3380CC4-5D6E-409C-BE32-E72D297353CC}">
              <c16:uniqueId val="{00000032-6CAA-4752-B7C3-93ED7A04AE82}"/>
            </c:ext>
          </c:extLst>
        </c:ser>
        <c:ser>
          <c:idx val="3"/>
          <c:order val="9"/>
          <c:tx>
            <c:strRef>
              <c:f>Main!$CF$18</c:f>
              <c:strCache>
                <c:ptCount val="1"/>
                <c:pt idx="0">
                  <c:v>DP graph line</c:v>
                </c:pt>
              </c:strCache>
            </c:strRef>
          </c:tx>
          <c:spPr>
            <a:ln w="9525" cap="rnd">
              <a:solidFill>
                <a:schemeClr val="bg1">
                  <a:lumMod val="50000"/>
                </a:schemeClr>
              </a:solid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Main!$CF$19:$CF$20</c:f>
              <c:numCache>
                <c:formatCode>General</c:formatCode>
                <c:ptCount val="2"/>
                <c:pt idx="0">
                  <c:v>#N/A</c:v>
                </c:pt>
                <c:pt idx="1">
                  <c:v>#N/A</c:v>
                </c:pt>
              </c:numCache>
            </c:numRef>
          </c:val>
          <c:smooth val="0"/>
          <c:extLst>
            <c:ext xmlns:c16="http://schemas.microsoft.com/office/drawing/2014/chart" uri="{C3380CC4-5D6E-409C-BE32-E72D297353CC}">
              <c16:uniqueId val="{00000033-6CAA-4752-B7C3-93ED7A04AE82}"/>
            </c:ext>
          </c:extLst>
        </c:ser>
        <c:ser>
          <c:idx val="4"/>
          <c:order val="10"/>
          <c:tx>
            <c:strRef>
              <c:f>Main!$CG$18</c:f>
              <c:strCache>
                <c:ptCount val="1"/>
                <c:pt idx="0">
                  <c:v>DP graph funnel</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Main!$CG$19:$CG$20</c:f>
              <c:numCache>
                <c:formatCode>General</c:formatCode>
                <c:ptCount val="2"/>
                <c:pt idx="0">
                  <c:v>#N/A</c:v>
                </c:pt>
                <c:pt idx="1">
                  <c:v>#N/A</c:v>
                </c:pt>
              </c:numCache>
            </c:numRef>
          </c:val>
          <c:smooth val="0"/>
          <c:extLst>
            <c:ext xmlns:c16="http://schemas.microsoft.com/office/drawing/2014/chart" uri="{C3380CC4-5D6E-409C-BE32-E72D297353CC}">
              <c16:uniqueId val="{00000034-6CAA-4752-B7C3-93ED7A04AE82}"/>
            </c:ext>
          </c:extLst>
        </c:ser>
        <c:ser>
          <c:idx val="1"/>
          <c:order val="11"/>
          <c:tx>
            <c:strRef>
              <c:f>Main!$CC$18</c:f>
              <c:strCache>
                <c:ptCount val="1"/>
                <c:pt idx="0">
                  <c:v>Manual 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Main!$CC$19:$CC$20</c:f>
              <c:numCache>
                <c:formatCode>General</c:formatCode>
                <c:ptCount val="2"/>
                <c:pt idx="0">
                  <c:v>#N/A</c:v>
                </c:pt>
                <c:pt idx="1">
                  <c:v>#N/A</c:v>
                </c:pt>
              </c:numCache>
            </c:numRef>
          </c:val>
          <c:smooth val="0"/>
          <c:extLst>
            <c:ext xmlns:c16="http://schemas.microsoft.com/office/drawing/2014/chart" uri="{C3380CC4-5D6E-409C-BE32-E72D297353CC}">
              <c16:uniqueId val="{00000035-6CAA-4752-B7C3-93ED7A04AE82}"/>
            </c:ext>
          </c:extLst>
        </c:ser>
        <c:ser>
          <c:idx val="0"/>
          <c:order val="12"/>
          <c:tx>
            <c:strRef>
              <c:f>Main!$CA$18</c:f>
              <c:strCache>
                <c:ptCount val="1"/>
                <c:pt idx="0">
                  <c:v>Pink</c:v>
                </c:pt>
              </c:strCache>
            </c:strRef>
          </c:tx>
          <c:spPr>
            <a:ln w="28575" cap="rnd">
              <a:noFill/>
              <a:round/>
            </a:ln>
            <a:effectLst/>
          </c:spPr>
          <c:marker>
            <c:symbol val="circle"/>
            <c:size val="5"/>
            <c:spPr>
              <a:solidFill>
                <a:srgbClr val="FF3399"/>
              </a:solidFill>
              <a:ln w="9525">
                <a:noFill/>
              </a:ln>
              <a:effectLst/>
            </c:spPr>
          </c:marker>
          <c:cat>
            <c:numRef>
              <c:f>Main!$A$19:$A$20</c:f>
              <c:numCache>
                <c:formatCode>mmm\-yy</c:formatCode>
                <c:ptCount val="2"/>
              </c:numCache>
            </c:numRef>
          </c:cat>
          <c:val>
            <c:numRef>
              <c:f>Main!$CA$19:$CA$20</c:f>
              <c:numCache>
                <c:formatCode>General</c:formatCode>
                <c:ptCount val="2"/>
                <c:pt idx="0">
                  <c:v>0</c:v>
                </c:pt>
                <c:pt idx="1">
                  <c:v>0</c:v>
                </c:pt>
              </c:numCache>
            </c:numRef>
          </c:val>
          <c:smooth val="0"/>
          <c:extLst>
            <c:ext xmlns:c16="http://schemas.microsoft.com/office/drawing/2014/chart" uri="{C3380CC4-5D6E-409C-BE32-E72D297353CC}">
              <c16:uniqueId val="{00000036-6CAA-4752-B7C3-93ED7A04AE82}"/>
            </c:ext>
          </c:extLst>
        </c:ser>
        <c:ser>
          <c:idx val="2"/>
          <c:order val="13"/>
          <c:tx>
            <c:strRef>
              <c:f>Main!$CE$18</c:f>
              <c:strCache>
                <c:ptCount val="1"/>
                <c:pt idx="0">
                  <c:v>Manual blue</c:v>
                </c:pt>
              </c:strCache>
            </c:strRef>
          </c:tx>
          <c:spPr>
            <a:ln w="28575" cap="rnd">
              <a:noFill/>
              <a:round/>
            </a:ln>
            <a:effectLst/>
          </c:spPr>
          <c:marker>
            <c:symbol val="circle"/>
            <c:size val="5"/>
            <c:spPr>
              <a:solidFill>
                <a:srgbClr val="002060"/>
              </a:solidFill>
              <a:ln w="9525">
                <a:noFill/>
              </a:ln>
              <a:effectLst/>
            </c:spPr>
          </c:marker>
          <c:cat>
            <c:numRef>
              <c:f>Main!$A$19:$A$20</c:f>
              <c:numCache>
                <c:formatCode>mmm\-yy</c:formatCode>
                <c:ptCount val="2"/>
              </c:numCache>
            </c:numRef>
          </c:cat>
          <c:val>
            <c:numRef>
              <c:f>Main!$CE$19:$CE$20</c:f>
              <c:numCache>
                <c:formatCode>General</c:formatCode>
                <c:ptCount val="2"/>
                <c:pt idx="0">
                  <c:v>#N/A</c:v>
                </c:pt>
                <c:pt idx="1">
                  <c:v>#N/A</c:v>
                </c:pt>
              </c:numCache>
            </c:numRef>
          </c:val>
          <c:smooth val="0"/>
          <c:extLst>
            <c:ext xmlns:c16="http://schemas.microsoft.com/office/drawing/2014/chart" uri="{C3380CC4-5D6E-409C-BE32-E72D297353CC}">
              <c16:uniqueId val="{00000037-6CAA-4752-B7C3-93ED7A04AE82}"/>
            </c:ext>
          </c:extLst>
        </c:ser>
        <c:dLbls>
          <c:showLegendKey val="0"/>
          <c:showVal val="0"/>
          <c:showCatName val="0"/>
          <c:showSerName val="0"/>
          <c:showPercent val="0"/>
          <c:showBubbleSize val="0"/>
        </c:dLbls>
        <c:marker val="1"/>
        <c:smooth val="0"/>
        <c:axId val="652955216"/>
        <c:axId val="652952592"/>
      </c:lineChart>
      <c:catAx>
        <c:axId val="652955216"/>
        <c:scaling>
          <c:orientation val="minMax"/>
        </c:scaling>
        <c:delete val="0"/>
        <c:axPos val="b"/>
        <c:title>
          <c:tx>
            <c:strRef>
              <c:f>Main!$T$1</c:f>
              <c:strCache>
                <c:ptCount val="1"/>
                <c:pt idx="0">
                  <c:v>Month</c:v>
                </c:pt>
              </c:strCache>
            </c:strRef>
          </c:tx>
          <c:layout/>
          <c:overlay val="0"/>
          <c:spPr>
            <a:noFill/>
            <a:ln>
              <a:noFill/>
            </a:ln>
            <a:effectLst/>
          </c:spPr>
          <c:txPr>
            <a:bodyPr rot="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mmm\-yy"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2592"/>
        <c:crosses val="autoZero"/>
        <c:auto val="0"/>
        <c:lblAlgn val="ctr"/>
        <c:lblOffset val="100"/>
        <c:noMultiLvlLbl val="0"/>
      </c:catAx>
      <c:valAx>
        <c:axId val="652952592"/>
        <c:scaling>
          <c:orientation val="minMax"/>
        </c:scaling>
        <c:delete val="0"/>
        <c:axPos val="l"/>
        <c:majorGridlines>
          <c:spPr>
            <a:ln w="9525" cap="flat" cmpd="sng" algn="ctr">
              <a:noFill/>
              <a:round/>
            </a:ln>
            <a:effectLst/>
          </c:spPr>
        </c:majorGridlines>
        <c:title>
          <c:tx>
            <c:strRef>
              <c:f>Main!$T$2</c:f>
              <c:strCache>
                <c:ptCount val="1"/>
                <c:pt idx="0">
                  <c:v>Percentage</c:v>
                </c:pt>
              </c:strCache>
            </c:strRef>
          </c:tx>
          <c:layout/>
          <c:overlay val="0"/>
          <c:spPr>
            <a:noFill/>
            <a:ln>
              <a:noFill/>
            </a:ln>
            <a:effectLst/>
          </c:spPr>
          <c:txPr>
            <a:bodyPr rot="-5400000" spcFirstLastPara="1" vertOverflow="ellipsis" vert="horz" wrap="square" anchor="ctr" anchorCtr="1"/>
            <a:lstStyle/>
            <a:p>
              <a:pPr>
                <a:defRPr sz="600" b="1" i="0" u="none" strike="noStrike" kern="1200" baseline="0">
                  <a:solidFill>
                    <a:schemeClr val="tx1"/>
                  </a:solidFill>
                  <a:latin typeface="Arial" panose="020B0604020202020204" pitchFamily="34" charset="0"/>
                  <a:ea typeface="+mn-ea"/>
                  <a:cs typeface="+mn-cs"/>
                </a:defRPr>
              </a:pPr>
              <a:endParaRPr lang="en-US"/>
            </a:p>
          </c:txPr>
        </c:title>
        <c:numFmt formatCode="0.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600" b="0" i="0" u="none" strike="noStrike" kern="1200" baseline="0">
                <a:solidFill>
                  <a:schemeClr val="tx1"/>
                </a:solidFill>
                <a:latin typeface="Arial" panose="020B0604020202020204" pitchFamily="34" charset="0"/>
                <a:ea typeface="+mn-ea"/>
                <a:cs typeface="+mn-cs"/>
              </a:defRPr>
            </a:pPr>
            <a:endParaRPr lang="en-US"/>
          </a:p>
        </c:txPr>
        <c:crossAx val="652955216"/>
        <c:crosses val="autoZero"/>
        <c:crossBetween val="between"/>
      </c:valAx>
      <c:valAx>
        <c:axId val="615579896"/>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solidFill>
                <a:latin typeface="Arial" panose="020B0604020202020204" pitchFamily="34" charset="0"/>
                <a:ea typeface="+mn-ea"/>
                <a:cs typeface="+mn-cs"/>
              </a:defRPr>
            </a:pPr>
            <a:endParaRPr lang="en-US"/>
          </a:p>
        </c:txPr>
        <c:crossAx val="615581536"/>
        <c:crosses val="max"/>
        <c:crossBetween val="between"/>
        <c:majorUnit val="1"/>
      </c:valAx>
      <c:catAx>
        <c:axId val="615581536"/>
        <c:scaling>
          <c:orientation val="minMax"/>
        </c:scaling>
        <c:delete val="1"/>
        <c:axPos val="b"/>
        <c:numFmt formatCode="mmm\-yy" sourceLinked="1"/>
        <c:majorTickMark val="out"/>
        <c:minorTickMark val="none"/>
        <c:tickLblPos val="nextTo"/>
        <c:crossAx val="615579896"/>
        <c:crosses val="autoZero"/>
        <c:auto val="0"/>
        <c:lblAlgn val="ctr"/>
        <c:lblOffset val="100"/>
        <c:tickLblSkip val="1"/>
        <c:tickMarkSkip val="1"/>
        <c:noMultiLvlLbl val="1"/>
      </c:catAx>
      <c:spPr>
        <a:noFill/>
        <a:ln>
          <a:noFill/>
        </a:ln>
        <a:effectLst/>
      </c:spPr>
    </c:plotArea>
    <c:plotVisOnly val="1"/>
    <c:dispBlanksAs val="gap"/>
    <c:showDLblsOverMax val="0"/>
  </c:chart>
  <c:spPr>
    <a:solidFill>
      <a:schemeClr val="bg1"/>
    </a:solidFill>
    <a:ln w="3175" cap="flat" cmpd="sng" algn="ctr">
      <a:solidFill>
        <a:schemeClr val="bg1">
          <a:lumMod val="95000"/>
        </a:schemeClr>
      </a:solidFill>
      <a:round/>
    </a:ln>
    <a:effectLst/>
  </c:spPr>
  <c:txPr>
    <a:bodyPr/>
    <a:lstStyle/>
    <a:p>
      <a:pPr>
        <a:defRPr sz="600" baseline="0">
          <a:solidFill>
            <a:schemeClr val="tx1"/>
          </a:solidFill>
          <a:latin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18</xdr:col>
      <xdr:colOff>371475</xdr:colOff>
      <xdr:row>37</xdr:row>
      <xdr:rowOff>95250</xdr:rowOff>
    </xdr:from>
    <xdr:to>
      <xdr:col>18</xdr:col>
      <xdr:colOff>438151</xdr:colOff>
      <xdr:row>38</xdr:row>
      <xdr:rowOff>47625</xdr:rowOff>
    </xdr:to>
    <xdr:cxnSp macro="">
      <xdr:nvCxnSpPr>
        <xdr:cNvPr id="3" name="Straight Arrow Connector 2"/>
        <xdr:cNvCxnSpPr/>
      </xdr:nvCxnSpPr>
      <xdr:spPr>
        <a:xfrm flipH="1" flipV="1">
          <a:off x="11896725" y="6800850"/>
          <a:ext cx="66676"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285751</xdr:colOff>
      <xdr:row>37</xdr:row>
      <xdr:rowOff>104776</xdr:rowOff>
    </xdr:from>
    <xdr:to>
      <xdr:col>18</xdr:col>
      <xdr:colOff>161925</xdr:colOff>
      <xdr:row>38</xdr:row>
      <xdr:rowOff>47625</xdr:rowOff>
    </xdr:to>
    <xdr:cxnSp macro="">
      <xdr:nvCxnSpPr>
        <xdr:cNvPr id="5" name="Straight Arrow Connector 4"/>
        <xdr:cNvCxnSpPr/>
      </xdr:nvCxnSpPr>
      <xdr:spPr>
        <a:xfrm flipH="1" flipV="1">
          <a:off x="11201401" y="6810376"/>
          <a:ext cx="485774" cy="1333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485775</xdr:colOff>
      <xdr:row>37</xdr:row>
      <xdr:rowOff>57150</xdr:rowOff>
    </xdr:from>
    <xdr:to>
      <xdr:col>24</xdr:col>
      <xdr:colOff>152400</xdr:colOff>
      <xdr:row>38</xdr:row>
      <xdr:rowOff>19050</xdr:rowOff>
    </xdr:to>
    <xdr:cxnSp macro="">
      <xdr:nvCxnSpPr>
        <xdr:cNvPr id="6" name="Straight Arrow Connector 5"/>
        <xdr:cNvCxnSpPr/>
      </xdr:nvCxnSpPr>
      <xdr:spPr>
        <a:xfrm flipH="1" flipV="1">
          <a:off x="14449425" y="6762750"/>
          <a:ext cx="885825" cy="152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342900</xdr:colOff>
      <xdr:row>37</xdr:row>
      <xdr:rowOff>161925</xdr:rowOff>
    </xdr:from>
    <xdr:to>
      <xdr:col>24</xdr:col>
      <xdr:colOff>76201</xdr:colOff>
      <xdr:row>38</xdr:row>
      <xdr:rowOff>161925</xdr:rowOff>
    </xdr:to>
    <xdr:cxnSp macro="">
      <xdr:nvCxnSpPr>
        <xdr:cNvPr id="7" name="Straight Arrow Connector 6"/>
        <xdr:cNvCxnSpPr/>
      </xdr:nvCxnSpPr>
      <xdr:spPr>
        <a:xfrm flipH="1" flipV="1">
          <a:off x="13087350" y="6867525"/>
          <a:ext cx="2171701"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466725</xdr:colOff>
      <xdr:row>37</xdr:row>
      <xdr:rowOff>142875</xdr:rowOff>
    </xdr:from>
    <xdr:to>
      <xdr:col>24</xdr:col>
      <xdr:colOff>19051</xdr:colOff>
      <xdr:row>38</xdr:row>
      <xdr:rowOff>57150</xdr:rowOff>
    </xdr:to>
    <xdr:cxnSp macro="">
      <xdr:nvCxnSpPr>
        <xdr:cNvPr id="11" name="Straight Arrow Connector 10"/>
        <xdr:cNvCxnSpPr/>
      </xdr:nvCxnSpPr>
      <xdr:spPr>
        <a:xfrm flipH="1" flipV="1">
          <a:off x="13820775" y="6848475"/>
          <a:ext cx="1381126" cy="104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375877</xdr:colOff>
      <xdr:row>34</xdr:row>
      <xdr:rowOff>124255</xdr:rowOff>
    </xdr:from>
    <xdr:to>
      <xdr:col>5</xdr:col>
      <xdr:colOff>10281</xdr:colOff>
      <xdr:row>36</xdr:row>
      <xdr:rowOff>105205</xdr:rowOff>
    </xdr:to>
    <xdr:sp macro="" textlink="">
      <xdr:nvSpPr>
        <xdr:cNvPr id="16" name="TextBox 15"/>
        <xdr:cNvSpPr txBox="1"/>
      </xdr:nvSpPr>
      <xdr:spPr>
        <a:xfrm rot="20670642">
          <a:off x="2004652" y="6467905"/>
          <a:ext cx="1196504" cy="342900"/>
        </a:xfrm>
        <a:prstGeom prst="roundRect">
          <a:avLst>
            <a:gd name="adj" fmla="val 46854"/>
          </a:avLst>
        </a:prstGeom>
        <a:noFill/>
        <a:ln w="285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IE" sz="1600">
              <a:solidFill>
                <a:schemeClr val="accent6">
                  <a:lumMod val="50000"/>
                </a:schemeClr>
              </a:solidFill>
            </a:rPr>
            <a:t>Scenario 1</a:t>
          </a:r>
        </a:p>
      </xdr:txBody>
    </xdr:sp>
    <xdr:clientData/>
  </xdr:twoCellAnchor>
  <xdr:twoCellAnchor>
    <xdr:from>
      <xdr:col>8</xdr:col>
      <xdr:colOff>114300</xdr:colOff>
      <xdr:row>38</xdr:row>
      <xdr:rowOff>76199</xdr:rowOff>
    </xdr:from>
    <xdr:to>
      <xdr:col>10</xdr:col>
      <xdr:colOff>91604</xdr:colOff>
      <xdr:row>40</xdr:row>
      <xdr:rowOff>76199</xdr:rowOff>
    </xdr:to>
    <xdr:sp macro="" textlink="">
      <xdr:nvSpPr>
        <xdr:cNvPr id="18" name="TextBox 17"/>
        <xdr:cNvSpPr txBox="1"/>
      </xdr:nvSpPr>
      <xdr:spPr>
        <a:xfrm rot="20670642">
          <a:off x="5476875" y="7162799"/>
          <a:ext cx="1196504" cy="361950"/>
        </a:xfrm>
        <a:prstGeom prst="roundRect">
          <a:avLst>
            <a:gd name="adj" fmla="val 46854"/>
          </a:avLst>
        </a:prstGeom>
        <a:noFill/>
        <a:ln w="2857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IE" sz="1600">
              <a:solidFill>
                <a:schemeClr val="accent6">
                  <a:lumMod val="50000"/>
                </a:schemeClr>
              </a:solidFill>
            </a:rPr>
            <a:t>Scenario 2</a:t>
          </a:r>
        </a:p>
      </xdr:txBody>
    </xdr:sp>
    <xdr:clientData/>
  </xdr:twoCellAnchor>
  <xdr:twoCellAnchor editAs="oneCell">
    <xdr:from>
      <xdr:col>1</xdr:col>
      <xdr:colOff>1</xdr:colOff>
      <xdr:row>0</xdr:row>
      <xdr:rowOff>0</xdr:rowOff>
    </xdr:from>
    <xdr:to>
      <xdr:col>9</xdr:col>
      <xdr:colOff>438151</xdr:colOff>
      <xdr:row>5</xdr:row>
      <xdr:rowOff>3029</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126" y="0"/>
          <a:ext cx="6172200" cy="955529"/>
        </a:xfrm>
        <a:prstGeom prst="rect">
          <a:avLst/>
        </a:prstGeom>
      </xdr:spPr>
    </xdr:pic>
    <xdr:clientData/>
  </xdr:twoCellAnchor>
  <xdr:twoCellAnchor editAs="oneCell">
    <xdr:from>
      <xdr:col>22</xdr:col>
      <xdr:colOff>142875</xdr:colOff>
      <xdr:row>46</xdr:row>
      <xdr:rowOff>133350</xdr:rowOff>
    </xdr:from>
    <xdr:to>
      <xdr:col>26</xdr:col>
      <xdr:colOff>606623</xdr:colOff>
      <xdr:row>53</xdr:row>
      <xdr:rowOff>169069</xdr:rowOff>
    </xdr:to>
    <xdr:pic>
      <xdr:nvPicPr>
        <xdr:cNvPr id="12" name="Picture 1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039850" y="10067925"/>
          <a:ext cx="2902148" cy="1369219"/>
        </a:xfrm>
        <a:prstGeom prst="rect">
          <a:avLst/>
        </a:prstGeom>
      </xdr:spPr>
    </xdr:pic>
    <xdr:clientData/>
  </xdr:twoCellAnchor>
  <xdr:twoCellAnchor editAs="oneCell">
    <xdr:from>
      <xdr:col>2</xdr:col>
      <xdr:colOff>19439</xdr:colOff>
      <xdr:row>57</xdr:row>
      <xdr:rowOff>19441</xdr:rowOff>
    </xdr:from>
    <xdr:to>
      <xdr:col>25</xdr:col>
      <xdr:colOff>592883</xdr:colOff>
      <xdr:row>75</xdr:row>
      <xdr:rowOff>2242</xdr:rowOff>
    </xdr:to>
    <xdr:pic>
      <xdr:nvPicPr>
        <xdr:cNvPr id="15" name="Picture 14"/>
        <xdr:cNvPicPr>
          <a:picLocks noChangeAspect="1"/>
        </xdr:cNvPicPr>
      </xdr:nvPicPr>
      <xdr:blipFill>
        <a:blip xmlns:r="http://schemas.openxmlformats.org/officeDocument/2006/relationships" r:embed="rId3"/>
        <a:stretch>
          <a:fillRect/>
        </a:stretch>
      </xdr:blipFill>
      <xdr:spPr>
        <a:xfrm>
          <a:off x="874745" y="11128701"/>
          <a:ext cx="15482985" cy="3481780"/>
        </a:xfrm>
        <a:prstGeom prst="rect">
          <a:avLst/>
        </a:prstGeom>
      </xdr:spPr>
    </xdr:pic>
    <xdr:clientData/>
  </xdr:twoCellAnchor>
  <xdr:twoCellAnchor>
    <xdr:from>
      <xdr:col>2</xdr:col>
      <xdr:colOff>38100</xdr:colOff>
      <xdr:row>61</xdr:row>
      <xdr:rowOff>28575</xdr:rowOff>
    </xdr:from>
    <xdr:to>
      <xdr:col>6</xdr:col>
      <xdr:colOff>495300</xdr:colOff>
      <xdr:row>62</xdr:row>
      <xdr:rowOff>0</xdr:rowOff>
    </xdr:to>
    <xdr:sp macro="" textlink="">
      <xdr:nvSpPr>
        <xdr:cNvPr id="13" name="Rounded Rectangle 12"/>
        <xdr:cNvSpPr/>
      </xdr:nvSpPr>
      <xdr:spPr>
        <a:xfrm>
          <a:off x="885825" y="12820650"/>
          <a:ext cx="3581400" cy="16192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a:t>
          </a:r>
        </a:p>
      </xdr:txBody>
    </xdr:sp>
    <xdr:clientData/>
  </xdr:twoCellAnchor>
  <xdr:twoCellAnchor>
    <xdr:from>
      <xdr:col>6</xdr:col>
      <xdr:colOff>552450</xdr:colOff>
      <xdr:row>60</xdr:row>
      <xdr:rowOff>161925</xdr:rowOff>
    </xdr:from>
    <xdr:to>
      <xdr:col>7</xdr:col>
      <xdr:colOff>457200</xdr:colOff>
      <xdr:row>62</xdr:row>
      <xdr:rowOff>9524</xdr:rowOff>
    </xdr:to>
    <xdr:sp macro="" textlink="">
      <xdr:nvSpPr>
        <xdr:cNvPr id="17" name="Rounded Rectangle 16"/>
        <xdr:cNvSpPr/>
      </xdr:nvSpPr>
      <xdr:spPr>
        <a:xfrm>
          <a:off x="4524375" y="12763500"/>
          <a:ext cx="685800" cy="228599"/>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2</a:t>
          </a:r>
        </a:p>
      </xdr:txBody>
    </xdr:sp>
    <xdr:clientData/>
  </xdr:twoCellAnchor>
  <xdr:twoCellAnchor>
    <xdr:from>
      <xdr:col>9</xdr:col>
      <xdr:colOff>114300</xdr:colOff>
      <xdr:row>58</xdr:row>
      <xdr:rowOff>133350</xdr:rowOff>
    </xdr:from>
    <xdr:to>
      <xdr:col>11</xdr:col>
      <xdr:colOff>180976</xdr:colOff>
      <xdr:row>59</xdr:row>
      <xdr:rowOff>114300</xdr:rowOff>
    </xdr:to>
    <xdr:sp macro="" textlink="">
      <xdr:nvSpPr>
        <xdr:cNvPr id="19" name="Rounded Rectangle 18"/>
        <xdr:cNvSpPr/>
      </xdr:nvSpPr>
      <xdr:spPr>
        <a:xfrm>
          <a:off x="6086475" y="12353925"/>
          <a:ext cx="1285876" cy="1714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3</a:t>
          </a:r>
        </a:p>
      </xdr:txBody>
    </xdr:sp>
    <xdr:clientData/>
  </xdr:twoCellAnchor>
  <xdr:twoCellAnchor>
    <xdr:from>
      <xdr:col>3</xdr:col>
      <xdr:colOff>542926</xdr:colOff>
      <xdr:row>62</xdr:row>
      <xdr:rowOff>47625</xdr:rowOff>
    </xdr:from>
    <xdr:to>
      <xdr:col>4</xdr:col>
      <xdr:colOff>85726</xdr:colOff>
      <xdr:row>63</xdr:row>
      <xdr:rowOff>19050</xdr:rowOff>
    </xdr:to>
    <xdr:sp macro="" textlink="">
      <xdr:nvSpPr>
        <xdr:cNvPr id="20" name="Rounded Rectangle 19"/>
        <xdr:cNvSpPr/>
      </xdr:nvSpPr>
      <xdr:spPr>
        <a:xfrm>
          <a:off x="2171701" y="13030200"/>
          <a:ext cx="323850" cy="16192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4</a:t>
          </a:r>
        </a:p>
      </xdr:txBody>
    </xdr:sp>
    <xdr:clientData/>
  </xdr:twoCellAnchor>
  <xdr:twoCellAnchor>
    <xdr:from>
      <xdr:col>6</xdr:col>
      <xdr:colOff>104774</xdr:colOff>
      <xdr:row>64</xdr:row>
      <xdr:rowOff>114300</xdr:rowOff>
    </xdr:from>
    <xdr:to>
      <xdr:col>7</xdr:col>
      <xdr:colOff>285749</xdr:colOff>
      <xdr:row>66</xdr:row>
      <xdr:rowOff>95250</xdr:rowOff>
    </xdr:to>
    <xdr:sp macro="" textlink="">
      <xdr:nvSpPr>
        <xdr:cNvPr id="21" name="Rounded Rectangle 20"/>
        <xdr:cNvSpPr/>
      </xdr:nvSpPr>
      <xdr:spPr>
        <a:xfrm>
          <a:off x="4076699" y="13477875"/>
          <a:ext cx="962025" cy="3619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5</a:t>
          </a:r>
        </a:p>
      </xdr:txBody>
    </xdr:sp>
    <xdr:clientData/>
  </xdr:twoCellAnchor>
  <xdr:twoCellAnchor>
    <xdr:from>
      <xdr:col>2</xdr:col>
      <xdr:colOff>9524</xdr:colOff>
      <xdr:row>68</xdr:row>
      <xdr:rowOff>57150</xdr:rowOff>
    </xdr:from>
    <xdr:to>
      <xdr:col>10</xdr:col>
      <xdr:colOff>266699</xdr:colOff>
      <xdr:row>69</xdr:row>
      <xdr:rowOff>114300</xdr:rowOff>
    </xdr:to>
    <xdr:sp macro="" textlink="">
      <xdr:nvSpPr>
        <xdr:cNvPr id="22" name="Rounded Rectangle 21"/>
        <xdr:cNvSpPr/>
      </xdr:nvSpPr>
      <xdr:spPr>
        <a:xfrm>
          <a:off x="857249" y="14182725"/>
          <a:ext cx="5991225" cy="24765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13</a:t>
          </a:r>
        </a:p>
      </xdr:txBody>
    </xdr:sp>
    <xdr:clientData/>
  </xdr:twoCellAnchor>
  <xdr:twoCellAnchor>
    <xdr:from>
      <xdr:col>19</xdr:col>
      <xdr:colOff>104775</xdr:colOff>
      <xdr:row>57</xdr:row>
      <xdr:rowOff>152400</xdr:rowOff>
    </xdr:from>
    <xdr:to>
      <xdr:col>19</xdr:col>
      <xdr:colOff>533400</xdr:colOff>
      <xdr:row>59</xdr:row>
      <xdr:rowOff>28575</xdr:rowOff>
    </xdr:to>
    <xdr:sp macro="" textlink="">
      <xdr:nvSpPr>
        <xdr:cNvPr id="23" name="Rounded Rectangle 22"/>
        <xdr:cNvSpPr/>
      </xdr:nvSpPr>
      <xdr:spPr>
        <a:xfrm>
          <a:off x="12172950" y="12182475"/>
          <a:ext cx="428625" cy="257175"/>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10</a:t>
          </a:r>
        </a:p>
      </xdr:txBody>
    </xdr:sp>
    <xdr:clientData/>
  </xdr:twoCellAnchor>
  <xdr:twoCellAnchor>
    <xdr:from>
      <xdr:col>21</xdr:col>
      <xdr:colOff>214993</xdr:colOff>
      <xdr:row>70</xdr:row>
      <xdr:rowOff>27021</xdr:rowOff>
    </xdr:from>
    <xdr:to>
      <xdr:col>21</xdr:col>
      <xdr:colOff>541565</xdr:colOff>
      <xdr:row>70</xdr:row>
      <xdr:rowOff>192834</xdr:rowOff>
    </xdr:to>
    <xdr:sp macro="" textlink="">
      <xdr:nvSpPr>
        <xdr:cNvPr id="24" name="Rounded Rectangle 23"/>
        <xdr:cNvSpPr/>
      </xdr:nvSpPr>
      <xdr:spPr>
        <a:xfrm>
          <a:off x="13530554" y="13663322"/>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6</a:t>
          </a:r>
        </a:p>
      </xdr:txBody>
    </xdr:sp>
    <xdr:clientData/>
  </xdr:twoCellAnchor>
  <xdr:twoCellAnchor>
    <xdr:from>
      <xdr:col>23</xdr:col>
      <xdr:colOff>186418</xdr:colOff>
      <xdr:row>73</xdr:row>
      <xdr:rowOff>43932</xdr:rowOff>
    </xdr:from>
    <xdr:to>
      <xdr:col>23</xdr:col>
      <xdr:colOff>512990</xdr:colOff>
      <xdr:row>74</xdr:row>
      <xdr:rowOff>15357</xdr:rowOff>
    </xdr:to>
    <xdr:sp macro="" textlink="">
      <xdr:nvSpPr>
        <xdr:cNvPr id="25" name="Rounded Rectangle 24"/>
        <xdr:cNvSpPr/>
      </xdr:nvSpPr>
      <xdr:spPr>
        <a:xfrm>
          <a:off x="14726622" y="14263396"/>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8</a:t>
          </a:r>
        </a:p>
      </xdr:txBody>
    </xdr:sp>
    <xdr:clientData/>
  </xdr:twoCellAnchor>
  <xdr:twoCellAnchor>
    <xdr:from>
      <xdr:col>23</xdr:col>
      <xdr:colOff>116632</xdr:colOff>
      <xdr:row>71</xdr:row>
      <xdr:rowOff>145791</xdr:rowOff>
    </xdr:from>
    <xdr:to>
      <xdr:col>23</xdr:col>
      <xdr:colOff>443204</xdr:colOff>
      <xdr:row>72</xdr:row>
      <xdr:rowOff>117216</xdr:rowOff>
    </xdr:to>
    <xdr:sp macro="" textlink="">
      <xdr:nvSpPr>
        <xdr:cNvPr id="26" name="Rounded Rectangle 25"/>
        <xdr:cNvSpPr/>
      </xdr:nvSpPr>
      <xdr:spPr>
        <a:xfrm>
          <a:off x="14656836" y="13976480"/>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7</a:t>
          </a:r>
        </a:p>
      </xdr:txBody>
    </xdr:sp>
    <xdr:clientData/>
  </xdr:twoCellAnchor>
  <xdr:twoCellAnchor>
    <xdr:from>
      <xdr:col>24</xdr:col>
      <xdr:colOff>291581</xdr:colOff>
      <xdr:row>70</xdr:row>
      <xdr:rowOff>19439</xdr:rowOff>
    </xdr:from>
    <xdr:to>
      <xdr:col>25</xdr:col>
      <xdr:colOff>5832</xdr:colOff>
      <xdr:row>70</xdr:row>
      <xdr:rowOff>185252</xdr:rowOff>
    </xdr:to>
    <xdr:sp macro="" textlink="">
      <xdr:nvSpPr>
        <xdr:cNvPr id="27" name="Rounded Rectangle 26"/>
        <xdr:cNvSpPr/>
      </xdr:nvSpPr>
      <xdr:spPr>
        <a:xfrm>
          <a:off x="15444107" y="13655740"/>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11</a:t>
          </a:r>
        </a:p>
      </xdr:txBody>
    </xdr:sp>
    <xdr:clientData/>
  </xdr:twoCellAnchor>
  <xdr:twoCellAnchor editAs="oneCell">
    <xdr:from>
      <xdr:col>11</xdr:col>
      <xdr:colOff>116633</xdr:colOff>
      <xdr:row>46</xdr:row>
      <xdr:rowOff>38877</xdr:rowOff>
    </xdr:from>
    <xdr:to>
      <xdr:col>21</xdr:col>
      <xdr:colOff>554006</xdr:colOff>
      <xdr:row>50</xdr:row>
      <xdr:rowOff>883</xdr:rowOff>
    </xdr:to>
    <xdr:pic>
      <xdr:nvPicPr>
        <xdr:cNvPr id="9" name="Picture 8"/>
        <xdr:cNvPicPr>
          <a:picLocks noChangeAspect="1"/>
        </xdr:cNvPicPr>
      </xdr:nvPicPr>
      <xdr:blipFill>
        <a:blip xmlns:r="http://schemas.openxmlformats.org/officeDocument/2006/relationships" r:embed="rId4"/>
        <a:stretch>
          <a:fillRect/>
        </a:stretch>
      </xdr:blipFill>
      <xdr:spPr>
        <a:xfrm>
          <a:off x="7308980" y="9009872"/>
          <a:ext cx="6560587" cy="739557"/>
        </a:xfrm>
        <a:prstGeom prst="rect">
          <a:avLst/>
        </a:prstGeom>
      </xdr:spPr>
    </xdr:pic>
    <xdr:clientData/>
  </xdr:twoCellAnchor>
  <xdr:twoCellAnchor>
    <xdr:from>
      <xdr:col>20</xdr:col>
      <xdr:colOff>447092</xdr:colOff>
      <xdr:row>46</xdr:row>
      <xdr:rowOff>136071</xdr:rowOff>
    </xdr:from>
    <xdr:to>
      <xdr:col>23</xdr:col>
      <xdr:colOff>340179</xdr:colOff>
      <xdr:row>47</xdr:row>
      <xdr:rowOff>48597</xdr:rowOff>
    </xdr:to>
    <xdr:cxnSp macro="">
      <xdr:nvCxnSpPr>
        <xdr:cNvPr id="14" name="Straight Arrow Connector 13"/>
        <xdr:cNvCxnSpPr/>
      </xdr:nvCxnSpPr>
      <xdr:spPr>
        <a:xfrm>
          <a:off x="13150332" y="9107066"/>
          <a:ext cx="1730051" cy="106914"/>
        </a:xfrm>
        <a:prstGeom prst="straightConnector1">
          <a:avLst/>
        </a:prstGeom>
        <a:ln>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editAs="oneCell">
    <xdr:from>
      <xdr:col>11</xdr:col>
      <xdr:colOff>116633</xdr:colOff>
      <xdr:row>50</xdr:row>
      <xdr:rowOff>126352</xdr:rowOff>
    </xdr:from>
    <xdr:to>
      <xdr:col>21</xdr:col>
      <xdr:colOff>567603</xdr:colOff>
      <xdr:row>54</xdr:row>
      <xdr:rowOff>105828</xdr:rowOff>
    </xdr:to>
    <xdr:pic>
      <xdr:nvPicPr>
        <xdr:cNvPr id="10" name="Picture 9"/>
        <xdr:cNvPicPr>
          <a:picLocks noChangeAspect="1"/>
        </xdr:cNvPicPr>
      </xdr:nvPicPr>
      <xdr:blipFill>
        <a:blip xmlns:r="http://schemas.openxmlformats.org/officeDocument/2006/relationships" r:embed="rId5"/>
        <a:stretch>
          <a:fillRect/>
        </a:stretch>
      </xdr:blipFill>
      <xdr:spPr>
        <a:xfrm>
          <a:off x="7308980" y="9874898"/>
          <a:ext cx="6574184" cy="757027"/>
        </a:xfrm>
        <a:prstGeom prst="rect">
          <a:avLst/>
        </a:prstGeom>
      </xdr:spPr>
    </xdr:pic>
    <xdr:clientData/>
  </xdr:twoCellAnchor>
  <xdr:twoCellAnchor>
    <xdr:from>
      <xdr:col>20</xdr:col>
      <xdr:colOff>9719</xdr:colOff>
      <xdr:row>48</xdr:row>
      <xdr:rowOff>87475</xdr:rowOff>
    </xdr:from>
    <xdr:to>
      <xdr:col>23</xdr:col>
      <xdr:colOff>0</xdr:colOff>
      <xdr:row>51</xdr:row>
      <xdr:rowOff>38877</xdr:rowOff>
    </xdr:to>
    <xdr:cxnSp macro="">
      <xdr:nvCxnSpPr>
        <xdr:cNvPr id="30" name="Straight Arrow Connector 29"/>
        <xdr:cNvCxnSpPr/>
      </xdr:nvCxnSpPr>
      <xdr:spPr>
        <a:xfrm flipH="1">
          <a:off x="12712959" y="9447245"/>
          <a:ext cx="1827245" cy="534566"/>
        </a:xfrm>
        <a:prstGeom prst="straightConnector1">
          <a:avLst/>
        </a:prstGeom>
        <a:ln>
          <a:tailEnd type="triangle"/>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18</xdr:col>
      <xdr:colOff>8359</xdr:colOff>
      <xdr:row>65</xdr:row>
      <xdr:rowOff>138015</xdr:rowOff>
    </xdr:from>
    <xdr:to>
      <xdr:col>18</xdr:col>
      <xdr:colOff>334931</xdr:colOff>
      <xdr:row>66</xdr:row>
      <xdr:rowOff>109440</xdr:rowOff>
    </xdr:to>
    <xdr:sp macro="" textlink="">
      <xdr:nvSpPr>
        <xdr:cNvPr id="28" name="Rounded Rectangle 27"/>
        <xdr:cNvSpPr/>
      </xdr:nvSpPr>
      <xdr:spPr>
        <a:xfrm>
          <a:off x="11486956" y="12802377"/>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8</a:t>
          </a:r>
        </a:p>
      </xdr:txBody>
    </xdr:sp>
    <xdr:clientData/>
  </xdr:twoCellAnchor>
  <xdr:twoCellAnchor>
    <xdr:from>
      <xdr:col>19</xdr:col>
      <xdr:colOff>591522</xdr:colOff>
      <xdr:row>71</xdr:row>
      <xdr:rowOff>97195</xdr:rowOff>
    </xdr:from>
    <xdr:to>
      <xdr:col>20</xdr:col>
      <xdr:colOff>305772</xdr:colOff>
      <xdr:row>74</xdr:row>
      <xdr:rowOff>126352</xdr:rowOff>
    </xdr:to>
    <xdr:sp macro="" textlink="">
      <xdr:nvSpPr>
        <xdr:cNvPr id="32" name="Rounded Rectangle 31"/>
        <xdr:cNvSpPr/>
      </xdr:nvSpPr>
      <xdr:spPr>
        <a:xfrm>
          <a:off x="12682440" y="13927884"/>
          <a:ext cx="326572" cy="612320"/>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9</a:t>
          </a:r>
        </a:p>
      </xdr:txBody>
    </xdr:sp>
    <xdr:clientData/>
  </xdr:twoCellAnchor>
  <xdr:twoCellAnchor>
    <xdr:from>
      <xdr:col>12</xdr:col>
      <xdr:colOff>563725</xdr:colOff>
      <xdr:row>69</xdr:row>
      <xdr:rowOff>29159</xdr:rowOff>
    </xdr:from>
    <xdr:to>
      <xdr:col>13</xdr:col>
      <xdr:colOff>277975</xdr:colOff>
      <xdr:row>70</xdr:row>
      <xdr:rowOff>584</xdr:rowOff>
    </xdr:to>
    <xdr:sp macro="" textlink="">
      <xdr:nvSpPr>
        <xdr:cNvPr id="33" name="Rounded Rectangle 32"/>
        <xdr:cNvSpPr/>
      </xdr:nvSpPr>
      <xdr:spPr>
        <a:xfrm>
          <a:off x="8368393" y="13471072"/>
          <a:ext cx="326572" cy="165813"/>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n-IE" sz="1050">
              <a:solidFill>
                <a:srgbClr val="C00000"/>
              </a:solidFill>
            </a:rPr>
            <a:t>14</a:t>
          </a:r>
        </a:p>
      </xdr:txBody>
    </xdr:sp>
    <xdr:clientData/>
  </xdr:twoCellAnchor>
  <xdr:twoCellAnchor>
    <xdr:from>
      <xdr:col>13</xdr:col>
      <xdr:colOff>505408</xdr:colOff>
      <xdr:row>63</xdr:row>
      <xdr:rowOff>68035</xdr:rowOff>
    </xdr:from>
    <xdr:to>
      <xdr:col>20</xdr:col>
      <xdr:colOff>38877</xdr:colOff>
      <xdr:row>72</xdr:row>
      <xdr:rowOff>48596</xdr:rowOff>
    </xdr:to>
    <xdr:cxnSp macro="">
      <xdr:nvCxnSpPr>
        <xdr:cNvPr id="34" name="Straight Arrow Connector 33"/>
        <xdr:cNvCxnSpPr/>
      </xdr:nvCxnSpPr>
      <xdr:spPr>
        <a:xfrm flipH="1" flipV="1">
          <a:off x="8922398" y="12343622"/>
          <a:ext cx="3819719" cy="173005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295858</xdr:colOff>
      <xdr:row>72</xdr:row>
      <xdr:rowOff>191472</xdr:rowOff>
    </xdr:from>
    <xdr:to>
      <xdr:col>11</xdr:col>
      <xdr:colOff>29741</xdr:colOff>
      <xdr:row>74</xdr:row>
      <xdr:rowOff>172423</xdr:rowOff>
    </xdr:to>
    <xdr:sp macro="" textlink="">
      <xdr:nvSpPr>
        <xdr:cNvPr id="35" name="Rounded Rectangle 34"/>
        <xdr:cNvSpPr/>
      </xdr:nvSpPr>
      <xdr:spPr>
        <a:xfrm>
          <a:off x="6263562" y="14216549"/>
          <a:ext cx="958526" cy="369726"/>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12</a:t>
          </a:r>
        </a:p>
      </xdr:txBody>
    </xdr:sp>
    <xdr:clientData/>
  </xdr:twoCellAnchor>
  <xdr:twoCellAnchor>
    <xdr:from>
      <xdr:col>14</xdr:col>
      <xdr:colOff>174948</xdr:colOff>
      <xdr:row>72</xdr:row>
      <xdr:rowOff>184668</xdr:rowOff>
    </xdr:from>
    <xdr:to>
      <xdr:col>16</xdr:col>
      <xdr:colOff>242984</xdr:colOff>
      <xdr:row>74</xdr:row>
      <xdr:rowOff>165619</xdr:rowOff>
    </xdr:to>
    <xdr:sp macro="" textlink="">
      <xdr:nvSpPr>
        <xdr:cNvPr id="36" name="Rounded Rectangle 35"/>
        <xdr:cNvSpPr/>
      </xdr:nvSpPr>
      <xdr:spPr>
        <a:xfrm>
          <a:off x="9204259" y="14209745"/>
          <a:ext cx="1292679" cy="369726"/>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12</a:t>
          </a:r>
        </a:p>
      </xdr:txBody>
    </xdr:sp>
    <xdr:clientData/>
  </xdr:twoCellAnchor>
  <xdr:twoCellAnchor>
    <xdr:from>
      <xdr:col>10</xdr:col>
      <xdr:colOff>485969</xdr:colOff>
      <xdr:row>70</xdr:row>
      <xdr:rowOff>29158</xdr:rowOff>
    </xdr:from>
    <xdr:to>
      <xdr:col>11</xdr:col>
      <xdr:colOff>145791</xdr:colOff>
      <xdr:row>73</xdr:row>
      <xdr:rowOff>97194</xdr:rowOff>
    </xdr:to>
    <xdr:cxnSp macro="">
      <xdr:nvCxnSpPr>
        <xdr:cNvPr id="38" name="Straight Arrow Connector 37"/>
        <xdr:cNvCxnSpPr/>
      </xdr:nvCxnSpPr>
      <xdr:spPr>
        <a:xfrm flipV="1">
          <a:off x="7065995" y="13665459"/>
          <a:ext cx="272143" cy="65119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97194</xdr:colOff>
      <xdr:row>70</xdr:row>
      <xdr:rowOff>38878</xdr:rowOff>
    </xdr:from>
    <xdr:to>
      <xdr:col>16</xdr:col>
      <xdr:colOff>116633</xdr:colOff>
      <xdr:row>73</xdr:row>
      <xdr:rowOff>145791</xdr:rowOff>
    </xdr:to>
    <xdr:cxnSp macro="">
      <xdr:nvCxnSpPr>
        <xdr:cNvPr id="40" name="Straight Arrow Connector 39"/>
        <xdr:cNvCxnSpPr/>
      </xdr:nvCxnSpPr>
      <xdr:spPr>
        <a:xfrm flipV="1">
          <a:off x="10351148" y="13675179"/>
          <a:ext cx="19439" cy="6900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424543</xdr:colOff>
      <xdr:row>72</xdr:row>
      <xdr:rowOff>194386</xdr:rowOff>
    </xdr:from>
    <xdr:to>
      <xdr:col>13</xdr:col>
      <xdr:colOff>592883</xdr:colOff>
      <xdr:row>74</xdr:row>
      <xdr:rowOff>116632</xdr:rowOff>
    </xdr:to>
    <xdr:sp macro="" textlink="">
      <xdr:nvSpPr>
        <xdr:cNvPr id="41" name="Rounded Rectangle 40"/>
        <xdr:cNvSpPr/>
      </xdr:nvSpPr>
      <xdr:spPr>
        <a:xfrm>
          <a:off x="8229211" y="14219463"/>
          <a:ext cx="780662" cy="311021"/>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14</a:t>
          </a:r>
        </a:p>
      </xdr:txBody>
    </xdr:sp>
    <xdr:clientData/>
  </xdr:twoCellAnchor>
  <xdr:twoCellAnchor>
    <xdr:from>
      <xdr:col>7</xdr:col>
      <xdr:colOff>159009</xdr:colOff>
      <xdr:row>73</xdr:row>
      <xdr:rowOff>35766</xdr:rowOff>
    </xdr:from>
    <xdr:to>
      <xdr:col>8</xdr:col>
      <xdr:colOff>327349</xdr:colOff>
      <xdr:row>74</xdr:row>
      <xdr:rowOff>152399</xdr:rowOff>
    </xdr:to>
    <xdr:sp macro="" textlink="">
      <xdr:nvSpPr>
        <xdr:cNvPr id="42" name="Rounded Rectangle 41"/>
        <xdr:cNvSpPr/>
      </xdr:nvSpPr>
      <xdr:spPr>
        <a:xfrm>
          <a:off x="4902070" y="14255230"/>
          <a:ext cx="780662" cy="311021"/>
        </a:xfrm>
        <a:prstGeom prst="roundRect">
          <a:avLst/>
        </a:prstGeom>
        <a:solidFill>
          <a:schemeClr val="lt1">
            <a:alpha val="6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IE" sz="1050">
              <a:solidFill>
                <a:srgbClr val="C00000"/>
              </a:solidFill>
            </a:rPr>
            <a:t>15</a:t>
          </a:r>
        </a:p>
      </xdr:txBody>
    </xdr:sp>
    <xdr:clientData/>
  </xdr:twoCellAnchor>
  <xdr:twoCellAnchor editAs="oneCell">
    <xdr:from>
      <xdr:col>2</xdr:col>
      <xdr:colOff>145792</xdr:colOff>
      <xdr:row>94</xdr:row>
      <xdr:rowOff>6842</xdr:rowOff>
    </xdr:from>
    <xdr:to>
      <xdr:col>7</xdr:col>
      <xdr:colOff>19686</xdr:colOff>
      <xdr:row>100</xdr:row>
      <xdr:rowOff>97210</xdr:rowOff>
    </xdr:to>
    <xdr:pic>
      <xdr:nvPicPr>
        <xdr:cNvPr id="4" name="Picture 3"/>
        <xdr:cNvPicPr>
          <a:picLocks noChangeAspect="1"/>
        </xdr:cNvPicPr>
      </xdr:nvPicPr>
      <xdr:blipFill>
        <a:blip xmlns:r="http://schemas.openxmlformats.org/officeDocument/2006/relationships" r:embed="rId6"/>
        <a:stretch>
          <a:fillRect/>
        </a:stretch>
      </xdr:blipFill>
      <xdr:spPr>
        <a:xfrm>
          <a:off x="1001098" y="18357046"/>
          <a:ext cx="3761649" cy="1256695"/>
        </a:xfrm>
        <a:prstGeom prst="rect">
          <a:avLst/>
        </a:prstGeom>
      </xdr:spPr>
    </xdr:pic>
    <xdr:clientData/>
  </xdr:twoCellAnchor>
  <xdr:twoCellAnchor>
    <xdr:from>
      <xdr:col>3</xdr:col>
      <xdr:colOff>622041</xdr:colOff>
      <xdr:row>97</xdr:row>
      <xdr:rowOff>184669</xdr:rowOff>
    </xdr:from>
    <xdr:to>
      <xdr:col>4</xdr:col>
      <xdr:colOff>476250</xdr:colOff>
      <xdr:row>99</xdr:row>
      <xdr:rowOff>155510</xdr:rowOff>
    </xdr:to>
    <xdr:sp macro="" textlink="">
      <xdr:nvSpPr>
        <xdr:cNvPr id="29" name="Oval 28"/>
        <xdr:cNvSpPr/>
      </xdr:nvSpPr>
      <xdr:spPr>
        <a:xfrm>
          <a:off x="2254898" y="19118036"/>
          <a:ext cx="631760" cy="359617"/>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4</xdr:col>
      <xdr:colOff>9720</xdr:colOff>
      <xdr:row>98</xdr:row>
      <xdr:rowOff>145791</xdr:rowOff>
    </xdr:from>
    <xdr:to>
      <xdr:col>4</xdr:col>
      <xdr:colOff>165230</xdr:colOff>
      <xdr:row>101</xdr:row>
      <xdr:rowOff>29159</xdr:rowOff>
    </xdr:to>
    <xdr:cxnSp macro="">
      <xdr:nvCxnSpPr>
        <xdr:cNvPr id="37" name="Straight Arrow Connector 36"/>
        <xdr:cNvCxnSpPr/>
      </xdr:nvCxnSpPr>
      <xdr:spPr>
        <a:xfrm flipV="1">
          <a:off x="2420128" y="19273546"/>
          <a:ext cx="155510" cy="46653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116632</xdr:colOff>
      <xdr:row>94</xdr:row>
      <xdr:rowOff>145791</xdr:rowOff>
    </xdr:from>
    <xdr:to>
      <xdr:col>6</xdr:col>
      <xdr:colOff>301301</xdr:colOff>
      <xdr:row>102</xdr:row>
      <xdr:rowOff>30</xdr:rowOff>
    </xdr:to>
    <xdr:pic>
      <xdr:nvPicPr>
        <xdr:cNvPr id="39" name="Picture 38"/>
        <xdr:cNvPicPr>
          <a:picLocks noChangeAspect="1"/>
        </xdr:cNvPicPr>
      </xdr:nvPicPr>
      <xdr:blipFill rotWithShape="1">
        <a:blip xmlns:r="http://schemas.openxmlformats.org/officeDocument/2006/relationships" r:embed="rId7"/>
        <a:srcRect l="78395" t="33826" r="17157" b="43111"/>
        <a:stretch/>
      </xdr:blipFill>
      <xdr:spPr>
        <a:xfrm>
          <a:off x="3304591" y="18495995"/>
          <a:ext cx="962220" cy="1403238"/>
        </a:xfrm>
        <a:prstGeom prst="rect">
          <a:avLst/>
        </a:prstGeom>
      </xdr:spPr>
    </xdr:pic>
    <xdr:clientData/>
  </xdr:twoCellAnchor>
  <xdr:twoCellAnchor>
    <xdr:from>
      <xdr:col>5</xdr:col>
      <xdr:colOff>89437</xdr:colOff>
      <xdr:row>100</xdr:row>
      <xdr:rowOff>172705</xdr:rowOff>
    </xdr:from>
    <xdr:to>
      <xdr:col>6</xdr:col>
      <xdr:colOff>138967</xdr:colOff>
      <xdr:row>102</xdr:row>
      <xdr:rowOff>19251</xdr:rowOff>
    </xdr:to>
    <xdr:sp macro="" textlink="">
      <xdr:nvSpPr>
        <xdr:cNvPr id="43" name="Rounded Rectangle 42"/>
        <xdr:cNvSpPr/>
      </xdr:nvSpPr>
      <xdr:spPr>
        <a:xfrm>
          <a:off x="3285807" y="19469989"/>
          <a:ext cx="832595" cy="231209"/>
        </a:xfrm>
        <a:prstGeom prst="roundRect">
          <a:avLst>
            <a:gd name="adj" fmla="val 50000"/>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4</xdr:col>
      <xdr:colOff>494568</xdr:colOff>
      <xdr:row>99</xdr:row>
      <xdr:rowOff>73269</xdr:rowOff>
    </xdr:from>
    <xdr:to>
      <xdr:col>5</xdr:col>
      <xdr:colOff>274760</xdr:colOff>
      <xdr:row>101</xdr:row>
      <xdr:rowOff>73270</xdr:rowOff>
    </xdr:to>
    <xdr:cxnSp macro="">
      <xdr:nvCxnSpPr>
        <xdr:cNvPr id="45" name="Straight Arrow Connector 44"/>
        <xdr:cNvCxnSpPr/>
      </xdr:nvCxnSpPr>
      <xdr:spPr>
        <a:xfrm>
          <a:off x="2907873" y="19178221"/>
          <a:ext cx="563257" cy="384664"/>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132801</xdr:colOff>
      <xdr:row>104</xdr:row>
      <xdr:rowOff>9158</xdr:rowOff>
    </xdr:from>
    <xdr:to>
      <xdr:col>4</xdr:col>
      <xdr:colOff>718955</xdr:colOff>
      <xdr:row>110</xdr:row>
      <xdr:rowOff>166134</xdr:rowOff>
    </xdr:to>
    <xdr:pic>
      <xdr:nvPicPr>
        <xdr:cNvPr id="47" name="Picture 46"/>
        <xdr:cNvPicPr>
          <a:picLocks noChangeAspect="1"/>
        </xdr:cNvPicPr>
      </xdr:nvPicPr>
      <xdr:blipFill>
        <a:blip xmlns:r="http://schemas.openxmlformats.org/officeDocument/2006/relationships" r:embed="rId8"/>
        <a:stretch>
          <a:fillRect/>
        </a:stretch>
      </xdr:blipFill>
      <xdr:spPr>
        <a:xfrm>
          <a:off x="985621" y="19679391"/>
          <a:ext cx="2158886" cy="1286685"/>
        </a:xfrm>
        <a:prstGeom prst="rect">
          <a:avLst/>
        </a:prstGeom>
      </xdr:spPr>
    </xdr:pic>
    <xdr:clientData/>
  </xdr:twoCellAnchor>
  <xdr:twoCellAnchor>
    <xdr:from>
      <xdr:col>3</xdr:col>
      <xdr:colOff>52242</xdr:colOff>
      <xdr:row>105</xdr:row>
      <xdr:rowOff>104671</xdr:rowOff>
    </xdr:from>
    <xdr:to>
      <xdr:col>3</xdr:col>
      <xdr:colOff>334291</xdr:colOff>
      <xdr:row>107</xdr:row>
      <xdr:rowOff>75512</xdr:rowOff>
    </xdr:to>
    <xdr:sp macro="" textlink="">
      <xdr:nvSpPr>
        <xdr:cNvPr id="48" name="Oval 47"/>
        <xdr:cNvSpPr/>
      </xdr:nvSpPr>
      <xdr:spPr>
        <a:xfrm>
          <a:off x="1682482" y="20363613"/>
          <a:ext cx="282049" cy="35550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2</xdr:col>
      <xdr:colOff>273893</xdr:colOff>
      <xdr:row>108</xdr:row>
      <xdr:rowOff>96138</xdr:rowOff>
    </xdr:from>
    <xdr:to>
      <xdr:col>4</xdr:col>
      <xdr:colOff>141959</xdr:colOff>
      <xdr:row>109</xdr:row>
      <xdr:rowOff>135016</xdr:rowOff>
    </xdr:to>
    <xdr:sp macro="" textlink="">
      <xdr:nvSpPr>
        <xdr:cNvPr id="49" name="Rounded Rectangle 48"/>
        <xdr:cNvSpPr/>
      </xdr:nvSpPr>
      <xdr:spPr>
        <a:xfrm>
          <a:off x="1121068" y="20932076"/>
          <a:ext cx="1434196" cy="231209"/>
        </a:xfrm>
        <a:prstGeom prst="roundRect">
          <a:avLst>
            <a:gd name="adj" fmla="val 50000"/>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857925</xdr:colOff>
      <xdr:row>6</xdr:row>
      <xdr:rowOff>88629</xdr:rowOff>
    </xdr:from>
    <xdr:to>
      <xdr:col>3</xdr:col>
      <xdr:colOff>1059008</xdr:colOff>
      <xdr:row>7</xdr:row>
      <xdr:rowOff>35712</xdr:rowOff>
    </xdr:to>
    <xdr:sp macro="" textlink="">
      <xdr:nvSpPr>
        <xdr:cNvPr id="2" name="TextBox 1"/>
        <xdr:cNvSpPr txBox="1"/>
      </xdr:nvSpPr>
      <xdr:spPr>
        <a:xfrm>
          <a:off x="2641698" y="1344197"/>
          <a:ext cx="1066992" cy="14624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IE" sz="900"/>
            <a:t>List</a:t>
          </a:r>
        </a:p>
      </xdr:txBody>
    </xdr:sp>
    <xdr:clientData/>
  </xdr:twoCellAnchor>
  <xdr:twoCellAnchor>
    <xdr:from>
      <xdr:col>4</xdr:col>
      <xdr:colOff>216932</xdr:colOff>
      <xdr:row>6</xdr:row>
      <xdr:rowOff>84204</xdr:rowOff>
    </xdr:from>
    <xdr:to>
      <xdr:col>6</xdr:col>
      <xdr:colOff>703765</xdr:colOff>
      <xdr:row>7</xdr:row>
      <xdr:rowOff>27054</xdr:rowOff>
    </xdr:to>
    <xdr:sp macro="" textlink="">
      <xdr:nvSpPr>
        <xdr:cNvPr id="3" name="TextBox 2"/>
        <xdr:cNvSpPr txBox="1"/>
      </xdr:nvSpPr>
      <xdr:spPr>
        <a:xfrm>
          <a:off x="4133845" y="1328286"/>
          <a:ext cx="2158568" cy="146957"/>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en-IE" sz="900"/>
            <a:t>Your text. Clear</a:t>
          </a:r>
          <a:r>
            <a:rPr lang="en-IE" sz="900" baseline="0"/>
            <a:t> box to use list</a:t>
          </a:r>
          <a:endParaRPr lang="en-IE" sz="900"/>
        </a:p>
      </xdr:txBody>
    </xdr:sp>
    <xdr:clientData/>
  </xdr:twoCellAnchor>
  <xdr:twoCellAnchor>
    <xdr:from>
      <xdr:col>0</xdr:col>
      <xdr:colOff>25513</xdr:colOff>
      <xdr:row>3</xdr:row>
      <xdr:rowOff>204107</xdr:rowOff>
    </xdr:from>
    <xdr:to>
      <xdr:col>0</xdr:col>
      <xdr:colOff>858951</xdr:colOff>
      <xdr:row>3</xdr:row>
      <xdr:rowOff>348683</xdr:rowOff>
    </xdr:to>
    <xdr:sp macro="" textlink="">
      <xdr:nvSpPr>
        <xdr:cNvPr id="6" name="TextBox 5"/>
        <xdr:cNvSpPr txBox="1"/>
      </xdr:nvSpPr>
      <xdr:spPr>
        <a:xfrm>
          <a:off x="25513" y="782411"/>
          <a:ext cx="833438" cy="144576"/>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800"/>
            <a:t>(input final values)</a:t>
          </a:r>
        </a:p>
      </xdr:txBody>
    </xdr:sp>
    <xdr:clientData/>
  </xdr:twoCellAnchor>
  <xdr:twoCellAnchor>
    <xdr:from>
      <xdr:col>1</xdr:col>
      <xdr:colOff>34017</xdr:colOff>
      <xdr:row>3</xdr:row>
      <xdr:rowOff>25513</xdr:rowOff>
    </xdr:from>
    <xdr:to>
      <xdr:col>3</xdr:col>
      <xdr:colOff>646340</xdr:colOff>
      <xdr:row>3</xdr:row>
      <xdr:rowOff>144575</xdr:rowOff>
    </xdr:to>
    <xdr:sp macro="" textlink="">
      <xdr:nvSpPr>
        <xdr:cNvPr id="7" name="TextBox 6"/>
        <xdr:cNvSpPr txBox="1"/>
      </xdr:nvSpPr>
      <xdr:spPr>
        <a:xfrm>
          <a:off x="978013" y="603817"/>
          <a:ext cx="2321720" cy="11906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IE" sz="800"/>
            <a:t>(your data points will be calculated by the template)</a:t>
          </a:r>
        </a:p>
      </xdr:txBody>
    </xdr:sp>
    <xdr:clientData/>
  </xdr:twoCellAnchor>
  <xdr:twoCellAnchor>
    <xdr:from>
      <xdr:col>3</xdr:col>
      <xdr:colOff>316515</xdr:colOff>
      <xdr:row>13</xdr:row>
      <xdr:rowOff>9613</xdr:rowOff>
    </xdr:from>
    <xdr:to>
      <xdr:col>3</xdr:col>
      <xdr:colOff>1242391</xdr:colOff>
      <xdr:row>14</xdr:row>
      <xdr:rowOff>69145</xdr:rowOff>
    </xdr:to>
    <xdr:sp macro="" textlink="">
      <xdr:nvSpPr>
        <xdr:cNvPr id="4" name="Left Arrow Callout 3"/>
        <xdr:cNvSpPr/>
      </xdr:nvSpPr>
      <xdr:spPr>
        <a:xfrm>
          <a:off x="2963104" y="2390863"/>
          <a:ext cx="925876" cy="250032"/>
        </a:xfrm>
        <a:prstGeom prst="leftArrowCallout">
          <a:avLst>
            <a:gd name="adj1" fmla="val 56896"/>
            <a:gd name="adj2" fmla="val 46278"/>
            <a:gd name="adj3" fmla="val 132581"/>
            <a:gd name="adj4" fmla="val 64977"/>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IE" sz="700">
              <a:solidFill>
                <a:schemeClr val="dk1"/>
              </a:solidFill>
              <a:latin typeface="+mn-lt"/>
              <a:ea typeface="+mn-ea"/>
              <a:cs typeface="+mn-cs"/>
            </a:rPr>
            <a:t>Set Your number</a:t>
          </a:r>
        </a:p>
      </xdr:txBody>
    </xdr:sp>
    <xdr:clientData/>
  </xdr:twoCellAnchor>
  <xdr:twoCellAnchor>
    <xdr:from>
      <xdr:col>0</xdr:col>
      <xdr:colOff>0</xdr:colOff>
      <xdr:row>13</xdr:row>
      <xdr:rowOff>11942</xdr:rowOff>
    </xdr:from>
    <xdr:to>
      <xdr:col>0</xdr:col>
      <xdr:colOff>396000</xdr:colOff>
      <xdr:row>13</xdr:row>
      <xdr:rowOff>184814</xdr:rowOff>
    </xdr:to>
    <xdr:sp macro="" textlink="">
      <xdr:nvSpPr>
        <xdr:cNvPr id="8" name="TextBox 7"/>
        <xdr:cNvSpPr txBox="1"/>
      </xdr:nvSpPr>
      <xdr:spPr>
        <a:xfrm>
          <a:off x="0" y="2343299"/>
          <a:ext cx="396000" cy="172872"/>
        </a:xfrm>
        <a:prstGeom prst="rect">
          <a:avLst/>
        </a:prstGeom>
        <a:solidFill>
          <a:schemeClr val="lt1"/>
        </a:solidFill>
        <a:ln w="952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IE" sz="700" spc="-40"/>
            <a:t>Pro tip</a:t>
          </a:r>
          <a:r>
            <a:rPr lang="en-IE" sz="700" spc="-40" baseline="0"/>
            <a:t> (C/I)</a:t>
          </a:r>
          <a:r>
            <a:rPr lang="en-IE" sz="700" spc="-40"/>
            <a:t>:</a:t>
          </a:r>
        </a:p>
      </xdr:txBody>
    </xdr:sp>
    <xdr:clientData/>
  </xdr:twoCellAnchor>
  <xdr:twoCellAnchor>
    <xdr:from>
      <xdr:col>78</xdr:col>
      <xdr:colOff>57150</xdr:colOff>
      <xdr:row>2</xdr:row>
      <xdr:rowOff>25151</xdr:rowOff>
    </xdr:from>
    <xdr:to>
      <xdr:col>85</xdr:col>
      <xdr:colOff>562125</xdr:colOff>
      <xdr:row>8</xdr:row>
      <xdr:rowOff>67463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596821</xdr:colOff>
      <xdr:row>0</xdr:row>
      <xdr:rowOff>111559</xdr:rowOff>
    </xdr:from>
    <xdr:to>
      <xdr:col>94</xdr:col>
      <xdr:colOff>270100</xdr:colOff>
      <xdr:row>9</xdr:row>
      <xdr:rowOff>49743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0" name="Main" displayName="Main" ref="A18:CP20" totalsRowShown="0">
  <autoFilter ref="A18:CP20"/>
  <tableColumns count="94">
    <tableColumn id="1" name="Xaxis" dataDxfId="97"/>
    <tableColumn id="2" name="InputDP" dataDxfId="96" dataCellStyle="Comma"/>
    <tableColumn id="3" name="Numerator" dataDxfId="95" dataCellStyle="Comma"/>
    <tableColumn id="4" name="Denominator base" dataDxfId="94" dataCellStyle="Comma"/>
    <tableColumn id="5" name="Factor" dataDxfId="93" dataCellStyle="Comma">
      <calculatedColumnFormula>IF(AND(SUM($AA$2:$AA$5)=0,$D$5="yes"),$E$5,"")</calculatedColumnFormula>
    </tableColumn>
    <tableColumn id="6" name="CalcDP" dataDxfId="92">
      <calculatedColumnFormula>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calculatedColumnFormula>
    </tableColumn>
    <tableColumn id="7" name="Recalc" dataDxfId="91"/>
    <tableColumn id="8" name="missingv" dataDxfId="90"/>
    <tableColumn id="35" name="Range for limits" dataDxfId="89">
      <calculatedColumnFormula>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calculatedColumnFormula>
    </tableColumn>
    <tableColumn id="9" name="Range" dataDxfId="88">
      <calculatedColumnFormula>IF(ROW(Main[])=ROW(),"R1",IF(OR(OR(Main[[#This Row],[Recalc]]="Recalc",Main[[#This Row],[missingv]]="missing"),AND(Main[[#This Row],[Recalc]]="",Main[[#This Row],[missingv]]="",OFFSET(Main[[#This Row],[missingv]],-1,0)="missing")),CONCATENATE("R",RIGHT(OFFSET(Main[[#This Row],[Range]],-1,0),LEN(OFFSET(Main[[#This Row],[Range]],-1,0))-1)+1),OFFSET(Main[[#This Row],[Range]],-1,0)))</calculatedColumnFormula>
    </tableColumn>
    <tableColumn id="10" name="Denominator" dataDxfId="87">
      <calculatedColumnFormula>IF(AND($T$8=2,$D$5&lt;&gt;"yes"),Main[[#This Row],[Denominator base]],IF(AND($T$8=2,$D$5="yes"),Main[[#This Row],[Denominator base]]/Main[[#This Row],[Factor]],""))</calculatedColumnFormula>
    </tableColumn>
    <tableColumn id="11" name="DP" dataDxfId="86">
      <calculatedColumnFormula>IF($T$8=1,IF(ISBLANK(Main[[#This Row],[InputDP]]),"",Main[[#This Row],[InputDP]]),IF($T$8=2,Main[[#This Row],[CalcDP]],""))</calculatedColumnFormula>
    </tableColumn>
    <tableColumn id="74" name="Table row" dataDxfId="85">
      <calculatedColumnFormula>ROW()-ROW(Main[])+1</calculatedColumnFormula>
    </tableColumn>
    <tableColumn id="75" name="Ext range" dataDxfId="84">
      <calculatedColumnFormula>IF($Q$6&lt;&gt;1,"",IF(AND($Q$6=1,Main[[#This Row],[Table row]]&lt;=$Q$7),"initial","extend"))</calculatedColumnFormula>
    </tableColumn>
    <tableColumn id="12" name="Mean1" dataDxfId="83">
      <calculatedColumnFormula>IF($AG$5=1,IF(Main[[#This Row],[missingv]]="missing","",AVERAGEIFS(Main[DP],Main[Range for limits],Main[[#This Row],[Range for limits]],Main[missingv],"&lt;&gt;missing")),"")</calculatedColumnFormula>
    </tableColumn>
    <tableColumn id="76" name="Ext Mean1" dataDxfId="82">
      <calculatedColumnFormula>IF(OR($Q$6&lt;&gt;1,$T$8&lt;&gt;1),"",IF(Main[[#This Row],[Ext range]]="initial",IF(Main[[#This Row],[missingv]]="missing","",AVERAGEIFS(Main[DP],Main[Range for limits],Main[[#This Row],[Range for limits]],Main[missingv],"&lt;&gt;missing",Main[Ext range],"initial")),SUMIF(Main[Table row],1,Main[Ext Mean1])))</calculatedColumnFormula>
    </tableColumn>
    <tableColumn id="13" name="Sigma Cchart" dataDxfId="81">
      <calculatedColumnFormula>IF($AG$1=1,IF(Main[[#This Row],[missingv]]="missing","",SQRT(Main[[#This Row],[Mean1]])),"")</calculatedColumnFormula>
    </tableColumn>
    <tableColumn id="14" name="LCL Cchart" dataDxfId="80">
      <calculatedColumnFormula>IF($AG$1=1,IF(Main[[#This Row],[missingv]]="missing","",Main[[#This Row],[Mean1]]-3*Main[[#This Row],[Sigma Cchart]]),"")</calculatedColumnFormula>
    </tableColumn>
    <tableColumn id="15" name="UCL Cchart" dataDxfId="79">
      <calculatedColumnFormula>IF($AG$1=1,IF(Main[[#This Row],[missingv]]="missing","",Main[[#This Row],[Mean1]]+3*Main[[#This Row],[Sigma Cchart]]),"")</calculatedColumnFormula>
    </tableColumn>
    <tableColumn id="57" name="Sigma Cc for ext" dataDxfId="78">
      <calculatedColumnFormula>IF($AG$2=1,IF(Main[[#This Row],[missingv]]="missing","",SQRT(Main[[#This Row],[Ext Mean1]])),"")</calculatedColumnFormula>
    </tableColumn>
    <tableColumn id="58" name="Ext LCL Cc" dataDxfId="77">
      <calculatedColumnFormula>IF($AG$2=1,IF(Main[[#This Row],[missingv]]="missing","",Main[[#This Row],[Ext Mean1]]-3*Main[[#This Row],[Sigma Cc for ext]]),"")</calculatedColumnFormula>
    </tableColumn>
    <tableColumn id="59" name="Ext UCL Cc" dataDxfId="76">
      <calculatedColumnFormula>IF($AG$2=1,IF(Main[[#This Row],[missingv]]="missing","",Main[[#This Row],[Ext Mean1]]+3*Main[[#This Row],[Sigma Cc for ext]]),"")</calculatedColumnFormula>
    </tableColumn>
    <tableColumn id="60" name="Moving range Ichart" dataDxfId="75">
      <calculatedColumnFormula>IF($AG$3=1,IF(OR(Main[[#This Row],[DP]]="",Main[[#This Row],[Recalc]]="Recalc",Main[[#This Row],[missingv]]="missing",OFFSET(Main[[#This Row],[missingv]],-1,0)="missing",ROW(Main[])=ROW()),"",ABS(Main[[#This Row],[DP]]-OFFSET(Main[[#This Row],[DP]],-1,0))),"")</calculatedColumnFormula>
    </tableColumn>
    <tableColumn id="61" name="Average of MR Ichart" dataDxfId="74">
      <calculatedColumnFormula>IF($AG$3=1,IF(OR(Main[[#This Row],[DP]]="",Main[[#This Row],[missingv]]="missing"),"",AVERAGEIF(Main[Range for limits],Main[[#This Row],[Range for limits]],Main[Moving range Ichart])),"")</calculatedColumnFormula>
    </tableColumn>
    <tableColumn id="62" name="Upper limit of MR Ic" dataDxfId="73">
      <calculatedColumnFormula>IF($AG$3=1,IF(Main[[#This Row],[missingv]]="missing","",Main[[#This Row],[Average of MR Ichart]]*3.27),"")</calculatedColumnFormula>
    </tableColumn>
    <tableColumn id="63" name="Revised MR Ic" dataDxfId="72">
      <calculatedColumnFormula>IF(OR(Main[[#This Row],[DP]]="",Main[[#This Row],[Recalc]]="Recalc",Main[[#This Row],[missingv]]="missing",ROW(Main[])=ROW()),"",IF(Main[[#This Row],[Moving range Ichart]]&gt;Main[[#This Row],[Upper limit of MR Ic]],"",Main[[#This Row],[Moving range Ichart]]))</calculatedColumnFormula>
    </tableColumn>
    <tableColumn id="64" name="Revised Avg MR Ic" dataDxfId="71">
      <calculatedColumnFormula>IF($AG$3=1,IF(OR(Main[[#This Row],[DP]]="",Main[[#This Row],[missingv]]="missing"),"",AVERAGEIF(Main[Range for limits],Main[[#This Row],[Range for limits]],Main[Revised MR Ic])),"")</calculatedColumnFormula>
    </tableColumn>
    <tableColumn id="65" name="Sigma Ic" dataDxfId="70">
      <calculatedColumnFormula>IF($AG$3=1,IF(Main[[#This Row],[missingv]]="missing","",Main[[#This Row],[Revised Avg MR Ic]]*2.66/3),"")</calculatedColumnFormula>
    </tableColumn>
    <tableColumn id="66" name="LCL Ichart" dataDxfId="69">
      <calculatedColumnFormula>IF($AG$3=1,IF(Main[[#This Row],[missingv]]="missing","",Main[[#This Row],[Mean1]]-2.66*Main[[#This Row],[Revised Avg MR Ic]]),"")</calculatedColumnFormula>
    </tableColumn>
    <tableColumn id="67" name="UCL Ichart" dataDxfId="68">
      <calculatedColumnFormula>IF($AG$3=1,IF(Main[[#This Row],[missingv]]="missing","",Main[[#This Row],[Mean1]]+2.66*Main[[#This Row],[Revised Avg MR Ic]]),"")</calculatedColumnFormula>
    </tableColumn>
    <tableColumn id="68" name="Mov Range initial Ic Ext" dataDxfId="67">
      <calculatedColumnFormula>IF($AG$4=1,IF(OR(Main[[#This Row],[DP]]="",ROW(Main[])=ROW(),Main[[#This Row],[Table row]]&gt;$Q$7),"",ABS(Main[[#This Row],[DP]]-OFFSET(Main[[#This Row],[DP]],-1,0))),"")</calculatedColumnFormula>
    </tableColumn>
    <tableColumn id="44" name="AVG MR initial Ic Ext" dataDxfId="66">
      <calculatedColumnFormula>IF($AG$4=1,IF(Main[[#This Row],[Ext range]]&lt;&gt;"initial","",AVERAGEIF(Main[Ext range],Main[[#This Row],[Ext range]],Main[Mov Range initial Ic Ext])),"")</calculatedColumnFormula>
    </tableColumn>
    <tableColumn id="45" name="Upper MR initial Ic Ext" dataDxfId="65">
      <calculatedColumnFormula>IF($AG$4=1,IF(Main[[#This Row],[Ext range]]&lt;&gt;"initial","",AVERAGEIF(Main[Ext range],Main[[#This Row],[Ext range]],Main[AVG MR initial Ic Ext])*3.27),"")</calculatedColumnFormula>
    </tableColumn>
    <tableColumn id="46" name="Revised initial MR Ic Ext" dataDxfId="64">
      <calculatedColumnFormula>IF(Main[[#This Row],[Ext range]]&lt;&gt;"initial","",IF(OR(Main[[#This Row],[DP]]="",Main[[#This Row],[Recalc]]="Recalc",Main[[#This Row],[missingv]]="missing",ROW(Main[])=ROW()),"",IF(Main[[#This Row],[Mov Range initial Ic Ext]]&gt;Main[[#This Row],[Upper MR initial Ic Ext]],"",Main[[#This Row],[Mov Range initial Ic Ext]])))</calculatedColumnFormula>
    </tableColumn>
    <tableColumn id="47" name="Revised AVG MR init Ic Ext" dataDxfId="63">
      <calculatedColumnFormula>IF($AG$4=1,IF(Main[[#This Row],[Ext range]]="initial",IF(Main[[#This Row],[missingv]]="missing","",AVERAGEIF(Main[Ext range],Main[[#This Row],[Ext range]],Main[Revised initial MR Ic Ext])),SUMIF(Main[Table row],1,Main[Revised AVG MR init Ic Ext])),"")</calculatedColumnFormula>
    </tableColumn>
    <tableColumn id="39" name="Sigma initial Ic Ext" dataDxfId="62">
      <calculatedColumnFormula>IF($AG$4=1,Main[[#This Row],[Revised AVG MR init Ic Ext]]*2.66/3,"")</calculatedColumnFormula>
    </tableColumn>
    <tableColumn id="40" name="LCL initial Ic Ext" dataDxfId="61">
      <calculatedColumnFormula>IF($AG$4=1,Main[[#This Row],[Ext Mean1]]-2.66*Main[[#This Row],[Revised AVG MR init Ic Ext]],"")</calculatedColumnFormula>
    </tableColumn>
    <tableColumn id="41" name="UCL initial Ic Ext" dataDxfId="60">
      <calculatedColumnFormula>IF($AG$4=1,Main[[#This Row],[Ext Mean1]]+2.66*Main[[#This Row],[Revised AVG MR init Ic Ext]],"")</calculatedColumnFormula>
    </tableColumn>
    <tableColumn id="98" name="Mean2" dataDxfId="59">
      <calculatedColumnFormula>IF($AD$7=1,IF(Main[[#This Row],[missingv]]="missing","",SUMIFS(Main[Numerator],Main[Range for limits],Main[[#This Row],[Range for limits]],Main[missingv],"&lt;&gt;missing")/SUMIFS(Main[Denominator],Main[Range for limits],Main[[#This Row],[Range for limits]],Main[missingv],"&lt;&gt;missing")),"")</calculatedColumnFormula>
    </tableColumn>
    <tableColumn id="100" name="Sigma Uchart" dataDxfId="58">
      <calculatedColumnFormula>IF(OR($AD$3=1,$AD$6=1),IF(Main[[#This Row],[missingv]]="missing","",SQRT(Main[[#This Row],[Mean2]]/Main[[#This Row],[Denominator]])),"")</calculatedColumnFormula>
    </tableColumn>
    <tableColumn id="101" name="LCL Uchart" dataDxfId="57">
      <calculatedColumnFormula>IF(OR($AD$3=1,$AD$6=1),IF(Main[[#This Row],[missingv]]="missing","",Main[[#This Row],[Mean2]]-3*Main[[#This Row],[Sigma Uchart]]),"")</calculatedColumnFormula>
    </tableColumn>
    <tableColumn id="102" name="UCL Uchart" dataDxfId="56">
      <calculatedColumnFormula>IF(OR($AD$3=1,$AD$6=1),IF(Main[[#This Row],[missingv]]="missing","",Main[[#This Row],[Mean2]]+3*Main[[#This Row],[Sigma Uchart]]),"")</calculatedColumnFormula>
    </tableColumn>
    <tableColumn id="103" name="Sigma Pchart" dataDxfId="55">
      <calculatedColumnFormula>IF(OR($AD$1=1,$AD$2=1,$AD$4=1,$AD$5=1),IF(Main[[#This Row],[missingv]]="missing","",SQRT(Main[[#This Row],[Mean2]]*(1-Main[[#This Row],[Mean2]]))/SQRT(Main[[#This Row],[Denominator]])),"")</calculatedColumnFormula>
    </tableColumn>
    <tableColumn id="104" name="LCL Pchart" dataDxfId="54">
      <calculatedColumnFormula>IF(OR($AD$1=1,$AD$2=1,$AD$4=1,$AD$5=1),IF(Main[[#This Row],[missingv]]="missing","",Main[[#This Row],[Mean2]]-3*Main[[#This Row],[Sigma Pchart]]),"")</calculatedColumnFormula>
    </tableColumn>
    <tableColumn id="105" name="UCL Pchart" dataDxfId="53">
      <calculatedColumnFormula>IF(OR($AD$1=1,$AD$2=1,$AD$4=1,$AD$5=1),IF(Main[[#This Row],[missingv]]="missing","",Main[[#This Row],[Mean2]]+3*Main[[#This Row],[Sigma Pchart]]),"")</calculatedColumnFormula>
    </tableColumn>
    <tableColumn id="106" name="Z Score" dataDxfId="52">
      <calculatedColumnFormula>IF(OR($AD$2=1,$AD$5=1),IF(Main[[#This Row],[missingv]]="missing","",(Main[[#This Row],[DP]]-Main[[#This Row],[Mean2]])/Main[[#This Row],[Sigma Pchart]]),"")</calculatedColumnFormula>
    </tableColumn>
    <tableColumn id="107" name="Moving Range Pprime" dataDxfId="51">
      <calculatedColumnFormula>IF(OR($AD$2=1,$AD$5=1),IF(OR(Main[[#This Row],[DP]]="",Main[[#This Row],[Recalc]]="Recalc",Main[[#This Row],[missingv]]="missing",OFFSET(Main[[#This Row],[missingv]],-1,0)="missing",ROW(Main[])=ROW()),"",ABS(Main[[#This Row],[Z Score]]-OFFSET(Main[[#This Row],[Z Score]],-1,0))),"")</calculatedColumnFormula>
    </tableColumn>
    <tableColumn id="108" name="Average Mov Range Pprime" dataDxfId="50">
      <calculatedColumnFormula>IF(OR($AD$2=1,$AD$5=1),IF(OR(Main[[#This Row],[DP]]="",Main[[#This Row],[missingv]]="missing"),"",AVERAGEIF(Main[Range for limits],Main[[#This Row],[Range for limits]],Main[Moving Range Pprime])),"")</calculatedColumnFormula>
    </tableColumn>
    <tableColumn id="109" name="Upper limit of MR Pprime" dataDxfId="49">
      <calculatedColumnFormula>IF(OR($AD$2=1,$AD$5=1),IF(Main[[#This Row],[missingv]]="missing","",Main[[#This Row],[Average Mov Range Pprime]]*3.27),"")</calculatedColumnFormula>
    </tableColumn>
    <tableColumn id="110" name="Revised MR Pprime" dataDxfId="48">
      <calculatedColumnFormula>IF(OR(Main[[#This Row],[DP]]="",Main[[#This Row],[Recalc]]="Recalc",Main[[#This Row],[missingv]]="missing",ROW(Main[])=ROW()),"",IF(Main[[#This Row],[Moving Range Pprime]]&gt;Main[[#This Row],[Upper limit of MR Pprime]],"",Main[[#This Row],[Moving Range Pprime]]))</calculatedColumnFormula>
    </tableColumn>
    <tableColumn id="111" name="Revised AVG MR Pprime" dataDxfId="47">
      <calculatedColumnFormula>IF(OR($AD$2=1,$AD$5=1),IF(OR(Main[[#This Row],[DP]]="",Main[[#This Row],[missingv]]="missing"),"",AVERAGEIF(Main[Range for limits],Main[[#This Row],[Range for limits]],Main[Revised MR Pprime])),"")</calculatedColumnFormula>
    </tableColumn>
    <tableColumn id="112" name="SigmaZ Pprime" dataDxfId="46">
      <calculatedColumnFormula>IF(OR($AD$2=1,$AD$5=1),IF(Main[[#This Row],[missingv]]="missing","",Main[[#This Row],[Revised AVG MR Pprime]]/1.128),"")</calculatedColumnFormula>
    </tableColumn>
    <tableColumn id="42" name="Sigma*SZ Pprime" dataDxfId="45">
      <calculatedColumnFormula>IF(OR($AD$2=1,$AD$5=1),IF(Main[[#This Row],[missingv]]="missing","",Main[[#This Row],[Sigma Pchart]]*Main[[#This Row],[SigmaZ Pprime]]),"")</calculatedColumnFormula>
    </tableColumn>
    <tableColumn id="43" name="LCL Pprime" dataDxfId="44">
      <calculatedColumnFormula>IF(OR($AD$2=1,$AD$5=1),IF(Main[[#This Row],[missingv]]="missing","",Main[[#This Row],[Mean2]]-3*Main[[#This Row],[Sigma*SZ Pprime]]),"")</calculatedColumnFormula>
    </tableColumn>
    <tableColumn id="73" name="UCL Pprime" dataDxfId="43">
      <calculatedColumnFormula>IF(OR($AD$2=1,$AD$5=1),IF(Main[[#This Row],[missingv]]="missing","",Main[[#This Row],[Mean2]]+3*Main[[#This Row],[Sigma*SZ Pprime]]),"")</calculatedColumnFormula>
    </tableColumn>
    <tableColumn id="16" name="Use Mean" dataDxfId="42">
      <calculatedColumnFormula>IF(OR($AG$1=1,$AG$3=1),Main[[#This Row],[Mean1]],IF(OR($AG$2=1,$AG$4=1),Main[[#This Row],[Ext Mean1]],
IF(OR($AD$1=1,$AD$2=1,$AD$3=1,$AD$4=1,$AD$5=1,$AD$6=1),Main[[#This Row],[Mean2]],
NA())))</calculatedColumnFormula>
    </tableColumn>
    <tableColumn id="17" name="Use Sigma" dataDxfId="41">
      <calculatedColumnFormula>IF($AG$1=1,Main[[#This Row],[Sigma Cchart]],IF($AG$2=1,Main[[#This Row],[Sigma Cc for ext]],
IF($AG$3=1,Main[[#This Row],[Sigma Ic]],IF($AG$4=1,Main[[#This Row],[Sigma initial Ic Ext]],
IF($AD$3=1,Main[[#This Row],[Sigma Uchart]],IF($AD$1=1,Main[[#This Row],[Sigma Pchart]],
IF($AD$2=1,Main[[#This Row],[Sigma*SZ Pprime]],
NA())))))))</calculatedColumnFormula>
    </tableColumn>
    <tableColumn id="18" name="Use LCL" dataDxfId="40">
      <calculatedColumnFormula>IF($AG$1=1,Main[[#This Row],[LCL Cchart]],IF($AG$2=1,Main[[#This Row],[Ext LCL Cc]],
IF($AG$3=1,Main[[#This Row],[LCL Ichart]],IF($AG$4=1,Main[[#This Row],[LCL initial Ic Ext]],
IF(OR($AD$3=1,$AD$6=1),Main[[#This Row],[LCL Uchart]],IF(OR($AD$1=1,$AD$4=1),Main[[#This Row],[LCL Pchart]],
IF(OR($AD$2=1,$AD$5=1),Main[[#This Row],[LCL Pprime]],
NA())))))))</calculatedColumnFormula>
    </tableColumn>
    <tableColumn id="19" name="Use UCL" dataDxfId="39">
      <calculatedColumnFormula>IF($AG$1=1,Main[[#This Row],[UCL Cchart]],IF($AG$2=1,Main[[#This Row],[Ext UCL Cc]],
IF($AG$3=1,Main[[#This Row],[UCL Ichart]],IF($AG$4=1,Main[[#This Row],[UCL initial Ic Ext]],
IF(OR($AD$3=1,$AD$6=1),Main[[#This Row],[UCL Uchart]],IF(OR($AD$1=1,$AD$4=1),Main[[#This Row],[UCL Pchart]],
IF(OR($AD$2=1,$AD$5=1),Main[[#This Row],[UCL Pprime]],
NA())))))))</calculatedColumnFormula>
    </tableColumn>
    <tableColumn id="20" name="Over limit" dataDxfId="38">
      <calculatedColumnFormula>IF(Main[[#This Row],[missingv]]="missing","",IF(ROUND(Main[[#This Row],[DP]],$W$9)&gt;ROUND(Main[[#This Row],[Use UCL]],$W$9), "HIGH",IF(ROUND(Main[[#This Row],[DP]],$W$9)&lt;ROUND(Main[[#This Row],[Use LCL]],$W$9), "LOW","")))</calculatedColumnFormula>
    </tableColumn>
    <tableColumn id="21" name="Ab/below" dataDxfId="37">
      <calculatedColumnFormula>IF(OR(Main[[#This Row],[Over limit]]="HIGH",Main[[#This Row],[Over limit]]="LOW"),Main[[#This Row],[DP]],"")</calculatedColumnFormula>
    </tableColumn>
    <tableColumn id="22" name="Over 2Sigma" dataDxfId="36">
      <calculatedColumnFormula>IF(Main[[#This Row],[missingv]]="missing","",IF(OR(ROUND(Main[[#This Row],[DP]],$W$9)&gt;ROUND(Main[[#This Row],[Use UCL]]-Main[[#This Row],[Use Sigma]],$W$9),ROUND(Main[[#This Row],[DP]],$W$9)&lt;ROUND(Main[[#This Row],[Use LCL]]+Main[[#This Row],[Use Sigma]],$W$9)),"over2S",""))</calculatedColumnFormula>
    </tableColumn>
    <tableColumn id="23" name="2of3 close to limit" dataDxfId="35">
      <calculatedColumnFormula>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calculatedColumnFormula>
    </tableColumn>
    <tableColumn id="24" name="first trend up or down" dataDxfId="34">
      <calculatedColumnFormula>IF(ROW(Main[])=ROW(),"", IF(OFFSET(Main[[#This Row],[first trend up or down]],-1,0)&lt;&gt;"",OFFSET(Main[[#This Row],[first trend up or down]],-1,0),IF(ROUND(Main[[#This Row],[DP]],$W$9)=ROUND(OFFSET(Main[[#This Row],[DP]],-1,0),$W$9),"",IF(ROUND(Main[[#This Row],[DP]],$W$9)&gt;ROUND(OFFSET(Main[[#This Row],[DP]],-1,0),$W$9),1,"d"))))</calculatedColumnFormula>
    </tableColumn>
    <tableColumn id="25" name="trend for 6up or down ignoring equal1" dataDxfId="33">
      <calculatedColumnFormula>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calculatedColumnFormula>
    </tableColumn>
    <tableColumn id="26" name="step 2 for 6 up or down v1" dataDxfId="32">
      <calculatedColumnFormula>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alculatedColumnFormula>
    </tableColumn>
    <tableColumn id="27" name="6up or down v1" dataDxfId="31">
      <calculatedColumnFormula>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calculatedColumnFormula>
    </tableColumn>
    <tableColumn id="28" name="trend for 6up or down ignoring equal2" dataDxfId="30">
      <calculatedColumnFormula>IF(ROW(Main[])=ROW(),"",IF(Main[[#This Row],[first trend up or down]]="","",IF(OFFSET(Main[[#This Row],[trend for 6up or down ignoring equal2]],-1,0)="",IF(Main[[#This Row],[first trend up or down]]="d","Down","Up"),IF(ROUND(Main[[#This Row],[DP]],$W$9)=ROUND(OFFSET(Main[[#This Row],[DP]],-1,0),$W$9),"Equal",IF(ROUND(Main[[#This Row],[DP]],$W$9)&gt;ROUND(OFFSET(Main[[#This Row],[DP]],-1,0),$W$9),"Up","Down")))))</calculatedColumnFormula>
    </tableColumn>
    <tableColumn id="29" name="step 2 for 6 up or down v2" dataDxfId="29">
      <calculatedColumnFormula>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calculatedColumnFormula>
    </tableColumn>
    <tableColumn id="30" name="6up or down v2" dataDxfId="28">
      <calculatedColumnFormula>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calculatedColumnFormula>
    </tableColumn>
    <tableColumn id="31" name="final 6 up or down" dataDxfId="27">
      <calculatedColumnFormula>IF(OR($T$11=1,COUNTIF(Main[6up or down v2],#VALUE!)&gt;0),Main[[#This Row],[6up or down v1]],Main[[#This Row],[6up or down v2]])</calculatedColumnFormula>
    </tableColumn>
    <tableColumn id="32" name="position vs CL" dataDxfId="26">
      <calculatedColumnFormula>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calculatedColumnFormula>
    </tableColumn>
    <tableColumn id="33" name="grouping vs CL" dataDxfId="25">
      <calculatedColumnFormula>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calculatedColumnFormula>
    </tableColumn>
    <tableColumn id="34" name="8 above or below CL" dataDxfId="24">
      <calculatedColumnFormula>IF(COUNTIF(Main[grouping vs CL],"8"&amp;RIGHT(Main[[#This Row],[grouping vs CL]],LEN(Main[[#This Row],[grouping vs CL]])-FIND("G",Main[[#This Row],[grouping vs CL]])+4))&gt;0,Main[[#This Row],[DP]],"")</calculatedColumnFormula>
    </tableColumn>
    <tableColumn id="36" name="close to CL" dataDxfId="23">
      <calculatedColumnFormula>IF(Main[[#This Row],[missingv]]="missing","",IF(AND(ROUND(Main[[#This Row],[DP]],$W$9)&gt;Main[[#This Row],[Use Mean]]-Main[[#This Row],[Use Sigma]],ROUND(Main[[#This Row],[DP]],$W$9)&lt;Main[[#This Row],[Use Mean]]+Main[[#This Row],[Use Sigma]]),"close","far"))</calculatedColumnFormula>
    </tableColumn>
    <tableColumn id="37" name="15 hugging" dataDxfId="22">
      <calculatedColumnFormula>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calculatedColumnFormula>
    </tableColumn>
    <tableColumn id="38" name="15 close CL" dataDxfId="21">
      <calculatedColumnFormula>IF(COUNTIFS(Main[15 hugging],"15"&amp;RIGHT(Main[[#This Row],[15 hugging]],LEN(Main[[#This Row],[15 hugging]])-FIND("H",Main[[#This Row],[15 hugging]])+4),Main[15 hugging],"*c*")&gt;0,Main[[#This Row],[DP]],"")</calculatedColumnFormula>
    </tableColumn>
    <tableColumn id="78" name="SC test" dataDxfId="20">
      <calculatedColumnFormula>IF(ISERROR(Main[[#This Row],[Pink]]),"",IF(Main[[#This Row],[Pink]]="","",CONCATENATE("R ",IF(Main[[#This Row],[Pink]]=Main[[#This Row],[Ab/below]],"1, ",""),IF(OR($AD$4=1,$AD$5=1,$AD$6=1),"",CONCATENATE(IF(Main[[#This Row],[Pink]]=Main[[#This Row],[2of3 close to limit]],"2, ",""),IF(Main[[#This Row],[Pink]]=Main[[#This Row],[final 6 up or down]],"3, ",""),IF(Main[[#This Row],[Pink]]=Main[[#This Row],[8 above or below CL]],"4, ",""),IF(Main[[#This Row],[Pink]]=Main[[#This Row],[15 close CL]],"5, ",""))))))</calculatedColumnFormula>
    </tableColumn>
    <tableColumn id="77" name="Pink" dataDxfId="19">
      <calculatedColumnFormula>IF(Main[[#This Row],[missingv]]="missing",NA(),IF(AND(OR($AD$4=1,$AD$5=1,$AD$6=1),Main[[#This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calculatedColumnFormula>
    </tableColumn>
    <tableColumn id="88" name="Add pink" dataDxfId="18"/>
    <tableColumn id="89" name="Manual pink" dataDxfId="17">
      <calculatedColumnFormula>IF(Main[[#This Row],[Add pink]]&lt;&gt;"Add Pink",NA(),Main[[#This Row],[DP]])</calculatedColumnFormula>
    </tableColumn>
    <tableColumn id="86" name="Add blue" dataDxfId="16"/>
    <tableColumn id="87" name="Manual blue" dataDxfId="15">
      <calculatedColumnFormula>IF(Main[[#This Row],[Add blue]]&lt;&gt;"Add Blue",NA(),Main[[#This Row],[DP]])</calculatedColumnFormula>
    </tableColumn>
    <tableColumn id="79" name="DP graph line" dataDxfId="14">
      <calculatedColumnFormula>IF($Q$4=1,IF(Main[[#This Row],[missingv]]="missing",NA(),Main[[#This Row],[DP]]),NA())</calculatedColumnFormula>
    </tableColumn>
    <tableColumn id="80" name="DP graph funnel" dataDxfId="13">
      <calculatedColumnFormula>IF($Q$5=1,IF(Main[[#This Row],[missingv]]="missing",NA(),Main[[#This Row],[DP]]),NA())</calculatedColumnFormula>
    </tableColumn>
    <tableColumn id="81" name="CL graph" dataDxfId="12">
      <calculatedColumnFormula>IF(OR($Q$4=1,$Q$5=1),IF(Main[[#This Row],[missingv]]="missing",NA(),Main[[#This Row],[Use Mean]]),"")</calculatedColumnFormula>
    </tableColumn>
    <tableColumn id="82" name="LCL graph" dataDxfId="11">
      <calculatedColumnFormula>IF(OR($Q$4=1,$Q$5=1),IF(Main[[#This Row],[missingv]]="missing",NA(),Main[[#This Row],[Use LCL]]),"")</calculatedColumnFormula>
    </tableColumn>
    <tableColumn id="83" name="UCL graph" dataDxfId="10">
      <calculatedColumnFormula>IF(OR($Q$4=1,$Q$5=1),IF(Main[[#This Row],[missingv]]="missing",NA(),Main[[#This Row],[Use UCL]]),"")</calculatedColumnFormula>
    </tableColumn>
    <tableColumn id="84" name="Targ." dataDxfId="9" dataCellStyle="Comma">
      <calculatedColumnFormula>IF(OR($AD$4=1,$AD$5=1,$AD$6=1),NA(),IF(ISNUMBER($CK$16),$CK$16,NA()))</calculatedColumnFormula>
    </tableColumn>
    <tableColumn id="85" name="Target" dataDxfId="8">
      <calculatedColumnFormula>IF(ROW()=ROW(Main[])+ROWS(Main[])-1,Main[[#This Row],[Targ.]],NA())</calculatedColumnFormula>
    </tableColumn>
    <tableColumn id="90" name=" Mean " dataDxfId="7">
      <calculatedColumnFormula>IF(ROW()=ROW(Main[])+ROWS(Main[])-1,Main[[#This Row],[CL graph]],NA())</calculatedColumnFormula>
    </tableColumn>
    <tableColumn id="91" name="Err" dataDxfId="6">
      <calculatedColumnFormula>IF(COUNTIF(Main[Pink],"#VALUE!")&gt;0,100%,0)</calculatedColumnFormula>
    </tableColumn>
    <tableColumn id="48" name="ExtLCL" dataDxfId="5">
      <calculatedColumnFormula>IF(AND($Q$4=1,OR($AG$2=1,$AG$4=1),Main[[#This Row],[Ext range]]="extend"),IF(Main[[#This Row],[missingv]]="missing",NA(),Main[[#This Row],[Use LCL]]),NA())</calculatedColumnFormula>
    </tableColumn>
    <tableColumn id="49" name="ExtUCL" dataDxfId="4">
      <calculatedColumnFormula>IF(AND($Q$4=1,OR($AG$2=1,$AG$4=1),Main[[#This Row],[Ext range]]="extend"),IF(Main[[#This Row],[missingv]]="missing",NA(),Main[[#This Row],[Use UCL]]),NA())</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decimal" displayName="decimal" ref="V1:W7" totalsRowShown="0" headerRowDxfId="3" dataDxfId="2">
  <autoFilter ref="V1:W7"/>
  <tableColumns count="2">
    <tableColumn id="1" name="scenarios" dataDxfId="1"/>
    <tableColumn id="2" name="decimal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12"/>
  <sheetViews>
    <sheetView showGridLines="0" topLeftCell="A78" zoomScale="86" zoomScaleNormal="86" workbookViewId="0">
      <selection activeCell="O113" sqref="O113"/>
    </sheetView>
  </sheetViews>
  <sheetFormatPr defaultRowHeight="15" x14ac:dyDescent="0.25"/>
  <cols>
    <col min="1" max="1" width="3.5703125" customWidth="1"/>
    <col min="3" max="7" width="11.7109375" customWidth="1"/>
  </cols>
  <sheetData>
    <row r="1" spans="2:24" s="63" customFormat="1" x14ac:dyDescent="0.25"/>
    <row r="2" spans="2:24" s="63" customFormat="1" x14ac:dyDescent="0.25"/>
    <row r="3" spans="2:24" s="63" customFormat="1" x14ac:dyDescent="0.25"/>
    <row r="4" spans="2:24" s="63" customFormat="1" x14ac:dyDescent="0.25"/>
    <row r="5" spans="2:24" s="63" customFormat="1" x14ac:dyDescent="0.25"/>
    <row r="7" spans="2:24" x14ac:dyDescent="0.25">
      <c r="B7" t="s">
        <v>24</v>
      </c>
    </row>
    <row r="8" spans="2:24" ht="15.75" thickBot="1" x14ac:dyDescent="0.3">
      <c r="P8" s="82"/>
    </row>
    <row r="9" spans="2:24" ht="15.75" thickTop="1" x14ac:dyDescent="0.25">
      <c r="B9" s="23" t="s">
        <v>25</v>
      </c>
      <c r="C9" s="24"/>
      <c r="D9" s="24"/>
      <c r="E9" s="24"/>
      <c r="F9" s="24"/>
      <c r="G9" s="24"/>
      <c r="H9" s="24"/>
      <c r="I9" s="24"/>
      <c r="J9" s="24"/>
      <c r="K9" s="24"/>
      <c r="L9" s="24"/>
      <c r="M9" s="25"/>
      <c r="P9" s="20" t="s">
        <v>44</v>
      </c>
      <c r="Q9" s="21"/>
      <c r="R9" s="21"/>
      <c r="S9" s="21"/>
      <c r="T9" s="21"/>
      <c r="U9" s="21"/>
      <c r="V9" s="21"/>
      <c r="W9" s="21"/>
      <c r="X9" s="22"/>
    </row>
    <row r="10" spans="2:24" x14ac:dyDescent="0.25">
      <c r="B10" s="7" t="s">
        <v>26</v>
      </c>
      <c r="C10" s="8"/>
      <c r="D10" s="8"/>
      <c r="E10" s="8"/>
      <c r="F10" s="8"/>
      <c r="G10" s="8"/>
      <c r="H10" s="8"/>
      <c r="I10" s="8"/>
      <c r="J10" s="8"/>
      <c r="K10" s="8"/>
      <c r="L10" s="8"/>
      <c r="M10" s="9"/>
      <c r="P10" s="15" t="s">
        <v>104</v>
      </c>
      <c r="Q10" s="8"/>
      <c r="R10" s="8"/>
      <c r="S10" s="8"/>
      <c r="T10" s="8"/>
      <c r="U10" s="8"/>
      <c r="V10" s="8"/>
      <c r="W10" s="8"/>
      <c r="X10" s="16"/>
    </row>
    <row r="11" spans="2:24" x14ac:dyDescent="0.25">
      <c r="B11" s="10" t="s">
        <v>27</v>
      </c>
      <c r="C11" s="8"/>
      <c r="D11" s="8"/>
      <c r="E11" s="8"/>
      <c r="F11" s="8"/>
      <c r="G11" s="8"/>
      <c r="H11" s="8"/>
      <c r="I11" s="8"/>
      <c r="J11" s="8"/>
      <c r="K11" s="8"/>
      <c r="L11" s="8"/>
      <c r="M11" s="9"/>
      <c r="P11" s="15" t="s">
        <v>105</v>
      </c>
      <c r="Q11" s="8"/>
      <c r="R11" s="8"/>
      <c r="S11" s="8"/>
      <c r="T11" s="8"/>
      <c r="U11" s="8"/>
      <c r="V11" s="8"/>
      <c r="W11" s="8"/>
      <c r="X11" s="16"/>
    </row>
    <row r="12" spans="2:24" x14ac:dyDescent="0.25">
      <c r="B12" s="7"/>
      <c r="C12" s="8"/>
      <c r="D12" s="8"/>
      <c r="E12" s="8"/>
      <c r="F12" s="8"/>
      <c r="G12" s="8"/>
      <c r="H12" s="8"/>
      <c r="I12" s="8"/>
      <c r="J12" s="8"/>
      <c r="K12" s="8"/>
      <c r="L12" s="8"/>
      <c r="M12" s="9"/>
      <c r="P12" s="15" t="s">
        <v>106</v>
      </c>
      <c r="Q12" s="8"/>
      <c r="R12" s="8"/>
      <c r="S12" s="8"/>
      <c r="T12" s="8"/>
      <c r="U12" s="8"/>
      <c r="V12" s="8"/>
      <c r="W12" s="8"/>
      <c r="X12" s="16"/>
    </row>
    <row r="13" spans="2:24" x14ac:dyDescent="0.25">
      <c r="B13" s="7" t="s">
        <v>28</v>
      </c>
      <c r="C13" s="8"/>
      <c r="D13" s="8"/>
      <c r="E13" s="8"/>
      <c r="F13" s="8"/>
      <c r="G13" s="8"/>
      <c r="H13" s="8"/>
      <c r="I13" s="8"/>
      <c r="J13" s="8"/>
      <c r="K13" s="8"/>
      <c r="L13" s="8"/>
      <c r="M13" s="9"/>
      <c r="P13" s="15" t="s">
        <v>107</v>
      </c>
      <c r="Q13" s="8"/>
      <c r="R13" s="8"/>
      <c r="S13" s="8"/>
      <c r="T13" s="8"/>
      <c r="U13" s="8"/>
      <c r="V13" s="8"/>
      <c r="W13" s="8"/>
      <c r="X13" s="16"/>
    </row>
    <row r="14" spans="2:24" ht="15.75" thickBot="1" x14ac:dyDescent="0.3">
      <c r="B14" s="7" t="s">
        <v>29</v>
      </c>
      <c r="C14" s="8"/>
      <c r="D14" s="8"/>
      <c r="E14" s="8"/>
      <c r="F14" s="8"/>
      <c r="G14" s="8"/>
      <c r="H14" s="8"/>
      <c r="I14" s="8"/>
      <c r="J14" s="8"/>
      <c r="K14" s="8"/>
      <c r="L14" s="8"/>
      <c r="M14" s="9"/>
      <c r="P14" s="17" t="s">
        <v>108</v>
      </c>
      <c r="Q14" s="18"/>
      <c r="R14" s="18"/>
      <c r="S14" s="18"/>
      <c r="T14" s="18"/>
      <c r="U14" s="18"/>
      <c r="V14" s="18"/>
      <c r="W14" s="18"/>
      <c r="X14" s="19"/>
    </row>
    <row r="15" spans="2:24" ht="15.75" thickTop="1" x14ac:dyDescent="0.25">
      <c r="B15" s="7" t="s">
        <v>43</v>
      </c>
      <c r="C15" s="8"/>
      <c r="D15" s="8"/>
      <c r="E15" s="8"/>
      <c r="F15" s="8"/>
      <c r="G15" s="8"/>
      <c r="H15" s="8"/>
      <c r="I15" s="8"/>
      <c r="J15" s="8"/>
      <c r="K15" s="8"/>
      <c r="L15" s="8"/>
      <c r="M15" s="9"/>
    </row>
    <row r="16" spans="2:24" s="129" customFormat="1" x14ac:dyDescent="0.25">
      <c r="B16" s="7" t="s">
        <v>250</v>
      </c>
      <c r="C16" s="8"/>
      <c r="D16" s="8"/>
      <c r="E16" s="8"/>
      <c r="F16" s="8"/>
      <c r="G16" s="8"/>
      <c r="H16" s="8"/>
      <c r="I16" s="8"/>
      <c r="J16" s="8"/>
      <c r="K16" s="8"/>
      <c r="L16" s="8"/>
      <c r="M16" s="9"/>
    </row>
    <row r="17" spans="2:27" s="129" customFormat="1" x14ac:dyDescent="0.25">
      <c r="B17" s="7" t="s">
        <v>251</v>
      </c>
      <c r="C17" s="8"/>
      <c r="D17" s="8"/>
      <c r="E17" s="8"/>
      <c r="F17" s="8"/>
      <c r="G17" s="8"/>
      <c r="H17" s="8"/>
      <c r="I17" s="8"/>
      <c r="J17" s="8"/>
      <c r="K17" s="8"/>
      <c r="L17" s="8"/>
      <c r="M17" s="9"/>
    </row>
    <row r="18" spans="2:27" x14ac:dyDescent="0.25">
      <c r="B18" s="7"/>
      <c r="C18" s="8"/>
      <c r="D18" s="8"/>
      <c r="E18" s="8"/>
      <c r="F18" s="8"/>
      <c r="G18" s="8"/>
      <c r="H18" s="8"/>
      <c r="I18" s="8"/>
      <c r="J18" s="8"/>
      <c r="K18" s="8"/>
      <c r="L18" s="8"/>
      <c r="M18" s="9"/>
    </row>
    <row r="19" spans="2:27" x14ac:dyDescent="0.25">
      <c r="B19" s="7" t="s">
        <v>32</v>
      </c>
      <c r="C19" s="8"/>
      <c r="D19" s="8"/>
      <c r="E19" s="8"/>
      <c r="F19" s="8"/>
      <c r="G19" s="8"/>
      <c r="H19" s="8"/>
      <c r="I19" s="8"/>
      <c r="J19" s="8"/>
      <c r="K19" s="8"/>
      <c r="L19" s="8"/>
      <c r="M19" s="9"/>
    </row>
    <row r="20" spans="2:27" x14ac:dyDescent="0.25">
      <c r="B20" s="11" t="s">
        <v>30</v>
      </c>
      <c r="C20" s="8"/>
      <c r="D20" s="8"/>
      <c r="E20" s="8"/>
      <c r="F20" s="8"/>
      <c r="G20" s="8"/>
      <c r="H20" s="8"/>
      <c r="I20" s="8"/>
      <c r="J20" s="8"/>
      <c r="K20" s="8"/>
      <c r="L20" s="8"/>
      <c r="M20" s="9"/>
    </row>
    <row r="21" spans="2:27" x14ac:dyDescent="0.25">
      <c r="B21" s="7" t="s">
        <v>33</v>
      </c>
      <c r="C21" s="8"/>
      <c r="D21" s="8"/>
      <c r="E21" s="8"/>
      <c r="F21" s="8"/>
      <c r="G21" s="8"/>
      <c r="H21" s="8"/>
      <c r="I21" s="8"/>
      <c r="J21" s="8"/>
      <c r="K21" s="8"/>
      <c r="L21" s="8"/>
      <c r="M21" s="9"/>
    </row>
    <row r="22" spans="2:27" x14ac:dyDescent="0.25">
      <c r="B22" s="7"/>
      <c r="C22" s="8"/>
      <c r="D22" s="8"/>
      <c r="E22" s="8"/>
      <c r="F22" s="8"/>
      <c r="G22" s="8"/>
      <c r="H22" s="8"/>
      <c r="I22" s="8"/>
      <c r="J22" s="8"/>
      <c r="K22" s="8"/>
      <c r="L22" s="8"/>
      <c r="M22" s="9"/>
    </row>
    <row r="23" spans="2:27" ht="15.75" thickBot="1" x14ac:dyDescent="0.3">
      <c r="B23" s="12" t="s">
        <v>31</v>
      </c>
      <c r="C23" s="13"/>
      <c r="D23" s="13"/>
      <c r="E23" s="13"/>
      <c r="F23" s="13"/>
      <c r="G23" s="13"/>
      <c r="H23" s="13"/>
      <c r="I23" s="13"/>
      <c r="J23" s="13"/>
      <c r="K23" s="13"/>
      <c r="L23" s="13"/>
      <c r="M23" s="14"/>
    </row>
    <row r="24" spans="2:27" ht="16.5" thickTop="1" thickBot="1" x14ac:dyDescent="0.3"/>
    <row r="25" spans="2:27" ht="15.75" thickTop="1" x14ac:dyDescent="0.25">
      <c r="B25" s="145" t="s">
        <v>34</v>
      </c>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7"/>
    </row>
    <row r="26" spans="2:27" x14ac:dyDescent="0.25">
      <c r="B26" s="174" t="s">
        <v>39</v>
      </c>
      <c r="C26" s="5" t="s">
        <v>35</v>
      </c>
      <c r="D26" s="8"/>
      <c r="E26" s="8"/>
      <c r="F26" s="8"/>
      <c r="G26" s="8"/>
      <c r="H26" s="8"/>
      <c r="I26" s="8"/>
      <c r="J26" s="8"/>
      <c r="K26" s="8"/>
      <c r="L26" s="8"/>
      <c r="M26" s="8"/>
      <c r="N26" s="8"/>
      <c r="O26" s="8"/>
      <c r="P26" s="8"/>
      <c r="Q26" s="8"/>
      <c r="R26" s="8"/>
      <c r="S26" s="8"/>
      <c r="T26" s="8"/>
      <c r="U26" s="8"/>
      <c r="V26" s="8"/>
      <c r="W26" s="8"/>
      <c r="X26" s="8"/>
      <c r="Y26" s="8"/>
      <c r="Z26" s="8"/>
      <c r="AA26" s="148"/>
    </row>
    <row r="27" spans="2:27" x14ac:dyDescent="0.25">
      <c r="B27" s="174"/>
      <c r="C27" s="5" t="s">
        <v>36</v>
      </c>
      <c r="D27" s="8"/>
      <c r="E27" s="8"/>
      <c r="F27" s="8"/>
      <c r="G27" s="8"/>
      <c r="H27" s="8"/>
      <c r="I27" s="8"/>
      <c r="J27" s="8"/>
      <c r="K27" s="8"/>
      <c r="L27" s="8"/>
      <c r="M27" s="8"/>
      <c r="N27" s="8"/>
      <c r="O27" s="8"/>
      <c r="P27" s="8"/>
      <c r="Q27" s="8"/>
      <c r="R27" s="8"/>
      <c r="S27" s="8"/>
      <c r="T27" s="8"/>
      <c r="U27" s="8"/>
      <c r="V27" s="8"/>
      <c r="W27" s="8"/>
      <c r="X27" s="8"/>
      <c r="Y27" s="8"/>
      <c r="Z27" s="8"/>
      <c r="AA27" s="148"/>
    </row>
    <row r="28" spans="2:27" x14ac:dyDescent="0.25">
      <c r="B28" s="174"/>
      <c r="C28" s="5" t="s">
        <v>37</v>
      </c>
      <c r="D28" s="8"/>
      <c r="E28" s="8"/>
      <c r="F28" s="8"/>
      <c r="G28" s="8"/>
      <c r="H28" s="8"/>
      <c r="I28" s="8"/>
      <c r="J28" s="8"/>
      <c r="K28" s="8"/>
      <c r="L28" s="8"/>
      <c r="M28" s="8"/>
      <c r="N28" s="8"/>
      <c r="O28" s="8"/>
      <c r="P28" s="8"/>
      <c r="Q28" s="8"/>
      <c r="R28" s="8"/>
      <c r="S28" s="8"/>
      <c r="T28" s="8"/>
      <c r="U28" s="8"/>
      <c r="V28" s="8"/>
      <c r="W28" s="8"/>
      <c r="X28" s="8"/>
      <c r="Y28" s="8"/>
      <c r="Z28" s="8"/>
      <c r="AA28" s="148"/>
    </row>
    <row r="29" spans="2:27" x14ac:dyDescent="0.25">
      <c r="B29" s="174"/>
      <c r="C29" s="5" t="s">
        <v>38</v>
      </c>
      <c r="D29" s="8"/>
      <c r="E29" s="8"/>
      <c r="F29" s="8"/>
      <c r="G29" s="8"/>
      <c r="H29" s="8"/>
      <c r="I29" s="8"/>
      <c r="J29" s="8"/>
      <c r="K29" s="8"/>
      <c r="L29" s="8"/>
      <c r="M29" s="8"/>
      <c r="N29" s="8"/>
      <c r="O29" s="8"/>
      <c r="P29" s="8"/>
      <c r="Q29" s="8"/>
      <c r="R29" s="8"/>
      <c r="S29" s="8"/>
      <c r="T29" s="8"/>
      <c r="U29" s="8"/>
      <c r="V29" s="8"/>
      <c r="W29" s="8"/>
      <c r="X29" s="8"/>
      <c r="Y29" s="8"/>
      <c r="Z29" s="8"/>
      <c r="AA29" s="148"/>
    </row>
    <row r="30" spans="2:27" x14ac:dyDescent="0.25">
      <c r="B30" s="149"/>
      <c r="C30" s="8"/>
      <c r="D30" s="8"/>
      <c r="E30" s="8"/>
      <c r="F30" s="8"/>
      <c r="G30" s="8"/>
      <c r="H30" s="8"/>
      <c r="I30" s="8"/>
      <c r="J30" s="8"/>
      <c r="K30" s="8"/>
      <c r="L30" s="8"/>
      <c r="M30" s="8"/>
      <c r="N30" s="8"/>
      <c r="O30" s="8"/>
      <c r="P30" s="8"/>
      <c r="Q30" s="8"/>
      <c r="R30" s="8"/>
      <c r="S30" s="8"/>
      <c r="T30" s="8"/>
      <c r="U30" s="8"/>
      <c r="V30" s="8"/>
      <c r="W30" s="8"/>
      <c r="X30" s="8"/>
      <c r="Y30" s="8"/>
      <c r="Z30" s="8"/>
      <c r="AA30" s="148"/>
    </row>
    <row r="31" spans="2:27" x14ac:dyDescent="0.25">
      <c r="B31" s="150" t="s">
        <v>47</v>
      </c>
      <c r="C31" s="35"/>
      <c r="D31" s="35"/>
      <c r="E31" s="35"/>
      <c r="F31" s="35"/>
      <c r="G31" s="35"/>
      <c r="H31" s="35"/>
      <c r="I31" s="35"/>
      <c r="J31" s="35"/>
      <c r="K31" s="35"/>
      <c r="L31" s="35"/>
      <c r="M31" s="35"/>
      <c r="N31" s="35"/>
      <c r="O31" s="35"/>
      <c r="P31" s="35"/>
      <c r="Q31" s="35"/>
      <c r="R31" s="35"/>
      <c r="S31" s="35"/>
      <c r="T31" s="35"/>
      <c r="U31" s="35"/>
      <c r="V31" s="35"/>
      <c r="W31" s="35"/>
      <c r="X31" s="35"/>
      <c r="Y31" s="35"/>
      <c r="Z31" s="35"/>
      <c r="AA31" s="151"/>
    </row>
    <row r="32" spans="2:27" x14ac:dyDescent="0.25">
      <c r="B32" s="150"/>
      <c r="C32" s="5" t="s">
        <v>48</v>
      </c>
      <c r="D32" s="5"/>
      <c r="E32" s="8"/>
      <c r="F32" s="8"/>
      <c r="G32" s="8"/>
      <c r="H32" s="8"/>
      <c r="I32" s="8"/>
      <c r="J32" s="8"/>
      <c r="K32" s="8"/>
      <c r="L32" s="8"/>
      <c r="M32" s="8"/>
      <c r="N32" s="8"/>
      <c r="O32" s="8"/>
      <c r="P32" s="8"/>
      <c r="Q32" s="8"/>
      <c r="R32" s="8"/>
      <c r="S32" s="8"/>
      <c r="T32" s="8"/>
      <c r="U32" s="8"/>
      <c r="V32" s="8"/>
      <c r="W32" s="8"/>
      <c r="X32" s="8"/>
      <c r="Y32" s="8"/>
      <c r="Z32" s="8"/>
      <c r="AA32" s="148"/>
    </row>
    <row r="33" spans="2:27" x14ac:dyDescent="0.25">
      <c r="B33" s="150"/>
      <c r="C33" s="5" t="s">
        <v>49</v>
      </c>
      <c r="D33" s="5"/>
      <c r="E33" s="8"/>
      <c r="F33" s="8"/>
      <c r="G33" s="8"/>
      <c r="H33" s="8"/>
      <c r="I33" s="8"/>
      <c r="J33" s="8"/>
      <c r="K33" s="8"/>
      <c r="L33" s="8"/>
      <c r="M33" s="8"/>
      <c r="N33" s="8"/>
      <c r="O33" s="8"/>
      <c r="P33" s="8"/>
      <c r="Q33" s="8"/>
      <c r="R33" s="8"/>
      <c r="S33" s="8"/>
      <c r="T33" s="8"/>
      <c r="U33" s="8"/>
      <c r="V33" s="8"/>
      <c r="W33" s="8"/>
      <c r="X33" s="8"/>
      <c r="Y33" s="8"/>
      <c r="Z33" s="8"/>
      <c r="AA33" s="148"/>
    </row>
    <row r="34" spans="2:27" x14ac:dyDescent="0.25">
      <c r="B34" s="150"/>
      <c r="C34" s="5"/>
      <c r="D34" s="5" t="s">
        <v>282</v>
      </c>
      <c r="E34" s="8"/>
      <c r="F34" s="8"/>
      <c r="G34" s="8"/>
      <c r="H34" s="8"/>
      <c r="I34" s="8"/>
      <c r="J34" s="8"/>
      <c r="K34" s="8"/>
      <c r="L34" s="8"/>
      <c r="M34" s="8"/>
      <c r="N34" s="8"/>
      <c r="O34" s="8"/>
      <c r="P34" s="8"/>
      <c r="Q34" s="8"/>
      <c r="R34" s="8"/>
      <c r="S34" s="8"/>
      <c r="T34" s="8"/>
      <c r="U34" s="8"/>
      <c r="V34" s="8"/>
      <c r="W34" s="8"/>
      <c r="X34" s="8"/>
      <c r="Y34" s="8"/>
      <c r="Z34" s="8"/>
      <c r="AA34" s="148"/>
    </row>
    <row r="35" spans="2:27" x14ac:dyDescent="0.25">
      <c r="B35" s="150"/>
      <c r="C35" s="8"/>
      <c r="D35" s="8"/>
      <c r="E35" s="8"/>
      <c r="F35" s="8"/>
      <c r="G35" s="8"/>
      <c r="H35" s="8"/>
      <c r="I35" s="8"/>
      <c r="J35" s="8"/>
      <c r="K35" s="8"/>
      <c r="L35" s="8"/>
      <c r="M35" s="8"/>
      <c r="N35" s="8"/>
      <c r="O35" s="8"/>
      <c r="P35" s="8"/>
      <c r="Q35" s="8"/>
      <c r="R35" s="8"/>
      <c r="S35" s="8"/>
      <c r="T35" s="8"/>
      <c r="U35" s="8"/>
      <c r="V35" s="8"/>
      <c r="W35" s="8"/>
      <c r="X35" s="8"/>
      <c r="Y35" s="8"/>
      <c r="Z35" s="8"/>
      <c r="AA35" s="148"/>
    </row>
    <row r="36" spans="2:27" ht="13.5" customHeight="1" x14ac:dyDescent="0.25">
      <c r="B36" s="150" t="s">
        <v>41</v>
      </c>
      <c r="C36" s="35" t="s">
        <v>42</v>
      </c>
      <c r="D36" s="35"/>
      <c r="E36" s="35"/>
      <c r="F36" s="35"/>
      <c r="G36" s="175"/>
      <c r="H36" s="8"/>
      <c r="I36" s="35" t="s">
        <v>42</v>
      </c>
      <c r="J36" s="35"/>
      <c r="K36" s="35"/>
      <c r="L36" s="35"/>
      <c r="M36" s="172" t="s">
        <v>50</v>
      </c>
      <c r="N36" s="8"/>
      <c r="O36" s="35" t="s">
        <v>42</v>
      </c>
      <c r="P36" s="35"/>
      <c r="Q36" s="35"/>
      <c r="R36" s="35"/>
      <c r="S36" s="172" t="s">
        <v>50</v>
      </c>
      <c r="T36" s="8"/>
      <c r="U36" s="35" t="s">
        <v>42</v>
      </c>
      <c r="V36" s="35"/>
      <c r="W36" s="35"/>
      <c r="X36" s="35"/>
      <c r="Y36" s="172" t="s">
        <v>50</v>
      </c>
      <c r="Z36" s="8"/>
      <c r="AA36" s="148"/>
    </row>
    <row r="37" spans="2:27" x14ac:dyDescent="0.25">
      <c r="B37" s="150"/>
      <c r="C37" s="8" t="s">
        <v>6</v>
      </c>
      <c r="D37" s="8" t="s">
        <v>9</v>
      </c>
      <c r="E37" s="8" t="s">
        <v>10</v>
      </c>
      <c r="F37" s="8" t="s">
        <v>265</v>
      </c>
      <c r="G37" s="175"/>
      <c r="H37" s="8"/>
      <c r="I37" s="8" t="s">
        <v>6</v>
      </c>
      <c r="J37" s="8" t="s">
        <v>9</v>
      </c>
      <c r="K37" s="8" t="s">
        <v>10</v>
      </c>
      <c r="L37" s="8" t="s">
        <v>265</v>
      </c>
      <c r="M37" s="172"/>
      <c r="N37" s="8"/>
      <c r="O37" s="8" t="s">
        <v>6</v>
      </c>
      <c r="P37" s="8" t="s">
        <v>9</v>
      </c>
      <c r="Q37" s="8" t="s">
        <v>10</v>
      </c>
      <c r="R37" s="8" t="s">
        <v>265</v>
      </c>
      <c r="S37" s="172"/>
      <c r="T37" s="8"/>
      <c r="U37" s="8" t="s">
        <v>6</v>
      </c>
      <c r="V37" s="8" t="s">
        <v>9</v>
      </c>
      <c r="W37" s="8" t="s">
        <v>10</v>
      </c>
      <c r="X37" s="8" t="s">
        <v>265</v>
      </c>
      <c r="Y37" s="172"/>
      <c r="Z37" s="8"/>
      <c r="AA37" s="148"/>
    </row>
    <row r="38" spans="2:27" x14ac:dyDescent="0.25">
      <c r="B38" s="150"/>
      <c r="C38" s="131" t="s">
        <v>46</v>
      </c>
      <c r="D38" s="36"/>
      <c r="E38" s="36"/>
      <c r="F38" s="36"/>
      <c r="G38" s="36"/>
      <c r="H38" s="8"/>
      <c r="I38" s="36"/>
      <c r="J38" s="131" t="s">
        <v>46</v>
      </c>
      <c r="K38" s="131" t="s">
        <v>46</v>
      </c>
      <c r="L38" s="131" t="s">
        <v>46</v>
      </c>
      <c r="M38" s="37">
        <v>10000</v>
      </c>
      <c r="N38" s="8"/>
      <c r="O38" s="8"/>
      <c r="P38" s="8" t="s">
        <v>46</v>
      </c>
      <c r="Q38" s="8" t="s">
        <v>46</v>
      </c>
      <c r="R38" s="132" t="s">
        <v>46</v>
      </c>
      <c r="S38" s="37"/>
      <c r="T38" s="8"/>
      <c r="U38" s="133" t="s">
        <v>46</v>
      </c>
      <c r="V38" s="133" t="s">
        <v>46</v>
      </c>
      <c r="W38" s="133" t="s">
        <v>46</v>
      </c>
      <c r="X38" s="133"/>
      <c r="Y38" s="37"/>
      <c r="Z38" s="8"/>
      <c r="AA38" s="148"/>
    </row>
    <row r="39" spans="2:27" x14ac:dyDescent="0.25">
      <c r="B39" s="150"/>
      <c r="C39" s="8"/>
      <c r="D39" s="8"/>
      <c r="E39" s="8"/>
      <c r="F39" s="8"/>
      <c r="G39" s="38"/>
      <c r="H39" s="8"/>
      <c r="I39" s="8"/>
      <c r="J39" s="8"/>
      <c r="K39" s="8"/>
      <c r="L39" s="8"/>
      <c r="M39" s="38"/>
      <c r="N39" s="8"/>
      <c r="O39" s="8"/>
      <c r="P39" s="8"/>
      <c r="Q39" s="8"/>
      <c r="R39" s="8"/>
      <c r="S39" s="39" t="s">
        <v>45</v>
      </c>
      <c r="T39" s="8"/>
      <c r="U39" s="8"/>
      <c r="V39" s="8"/>
      <c r="W39" s="8"/>
      <c r="X39" s="8"/>
      <c r="Y39" s="39" t="s">
        <v>45</v>
      </c>
      <c r="Z39" s="8"/>
      <c r="AA39" s="148"/>
    </row>
    <row r="40" spans="2:27" ht="13.5" customHeight="1" x14ac:dyDescent="0.25">
      <c r="B40" s="150"/>
      <c r="C40" s="8"/>
      <c r="D40" s="8"/>
      <c r="E40" s="8"/>
      <c r="F40" s="8"/>
      <c r="G40" s="8"/>
      <c r="H40" s="8"/>
      <c r="I40" s="8"/>
      <c r="J40" s="8"/>
      <c r="K40" s="8"/>
      <c r="L40" s="8"/>
      <c r="M40" s="8"/>
      <c r="N40" s="8"/>
      <c r="O40" s="8"/>
      <c r="P40" s="8"/>
      <c r="Q40" s="8"/>
      <c r="R40" s="8"/>
      <c r="S40" s="8"/>
      <c r="T40" s="8"/>
      <c r="U40" s="8"/>
      <c r="V40" s="8"/>
      <c r="W40" s="8"/>
      <c r="X40" s="8"/>
      <c r="Y40" s="8"/>
      <c r="Z40" s="8"/>
      <c r="AA40" s="148"/>
    </row>
    <row r="41" spans="2:27" x14ac:dyDescent="0.25">
      <c r="B41" s="150"/>
      <c r="C41" s="8"/>
      <c r="D41" s="8"/>
      <c r="E41" s="8"/>
      <c r="F41" s="8"/>
      <c r="G41" s="8"/>
      <c r="H41" s="8"/>
      <c r="I41" s="35" t="s">
        <v>42</v>
      </c>
      <c r="J41" s="35"/>
      <c r="K41" s="35"/>
      <c r="L41" s="35"/>
      <c r="M41" s="173"/>
      <c r="N41" s="8"/>
      <c r="O41" s="8"/>
      <c r="P41" s="8"/>
      <c r="Q41" s="8"/>
      <c r="R41" s="8"/>
      <c r="S41" s="8"/>
      <c r="T41" s="8"/>
      <c r="U41" s="8"/>
      <c r="V41" s="8"/>
      <c r="W41" s="8"/>
      <c r="X41" s="8"/>
      <c r="Y41" s="8"/>
      <c r="Z41" s="8"/>
      <c r="AA41" s="148"/>
    </row>
    <row r="42" spans="2:27" x14ac:dyDescent="0.25">
      <c r="B42" s="150"/>
      <c r="C42" s="8"/>
      <c r="D42" s="8"/>
      <c r="E42" s="8"/>
      <c r="F42" s="8"/>
      <c r="G42" s="8"/>
      <c r="H42" s="8"/>
      <c r="I42" s="8" t="s">
        <v>6</v>
      </c>
      <c r="J42" s="8" t="s">
        <v>9</v>
      </c>
      <c r="K42" s="8" t="s">
        <v>10</v>
      </c>
      <c r="L42" s="8" t="s">
        <v>265</v>
      </c>
      <c r="M42" s="173"/>
      <c r="N42" s="8"/>
      <c r="O42" s="8"/>
      <c r="P42" s="8"/>
      <c r="Q42" s="8"/>
      <c r="R42" s="8"/>
      <c r="S42" s="8"/>
      <c r="T42" s="8"/>
      <c r="U42" s="8"/>
      <c r="V42" s="8"/>
      <c r="W42" s="8"/>
      <c r="X42" s="8"/>
      <c r="Y42" s="8"/>
      <c r="Z42" s="8"/>
      <c r="AA42" s="148"/>
    </row>
    <row r="43" spans="2:27" x14ac:dyDescent="0.25">
      <c r="B43" s="150"/>
      <c r="C43" s="8"/>
      <c r="D43" s="8"/>
      <c r="E43" s="8"/>
      <c r="F43" s="8"/>
      <c r="G43" s="8"/>
      <c r="H43" s="8"/>
      <c r="I43" s="36"/>
      <c r="J43" s="131" t="s">
        <v>46</v>
      </c>
      <c r="K43" s="131" t="s">
        <v>46</v>
      </c>
      <c r="L43" s="36"/>
      <c r="M43" s="40"/>
      <c r="N43" s="8"/>
      <c r="O43" s="8"/>
      <c r="P43" s="8"/>
      <c r="Q43" s="8"/>
      <c r="R43" s="8"/>
      <c r="S43" s="8"/>
      <c r="T43" s="8"/>
      <c r="U43" s="8"/>
      <c r="V43" s="8"/>
      <c r="W43" s="8"/>
      <c r="X43" s="8"/>
      <c r="Y43" s="8"/>
      <c r="Z43" s="8"/>
      <c r="AA43" s="148"/>
    </row>
    <row r="44" spans="2:27" ht="15" customHeight="1" thickBot="1" x14ac:dyDescent="0.3">
      <c r="B44" s="152"/>
      <c r="C44" s="41"/>
      <c r="D44" s="41"/>
      <c r="E44" s="41"/>
      <c r="F44" s="41"/>
      <c r="G44" s="41"/>
      <c r="H44" s="41"/>
      <c r="I44" s="41"/>
      <c r="J44" s="41"/>
      <c r="K44" s="41"/>
      <c r="L44" s="41"/>
      <c r="M44" s="42"/>
      <c r="N44" s="41"/>
      <c r="O44" s="41"/>
      <c r="P44" s="41"/>
      <c r="Q44" s="41"/>
      <c r="R44" s="41"/>
      <c r="S44" s="41"/>
      <c r="T44" s="41"/>
      <c r="U44" s="41"/>
      <c r="V44" s="41"/>
      <c r="W44" s="41"/>
      <c r="X44" s="41"/>
      <c r="Y44" s="41"/>
      <c r="Z44" s="41"/>
      <c r="AA44" s="153"/>
    </row>
    <row r="45" spans="2:27" x14ac:dyDescent="0.25">
      <c r="B45" s="154"/>
      <c r="C45" s="8"/>
      <c r="D45" s="8"/>
      <c r="E45" s="8"/>
      <c r="F45" s="8"/>
      <c r="G45" s="8"/>
      <c r="H45" s="8"/>
      <c r="I45" s="8"/>
      <c r="J45" s="8"/>
      <c r="K45" s="8"/>
      <c r="L45" s="8"/>
      <c r="M45" s="8"/>
      <c r="N45" s="8"/>
      <c r="O45" s="8"/>
      <c r="P45" s="8"/>
      <c r="Q45" s="8"/>
      <c r="R45" s="8"/>
      <c r="S45" s="8"/>
      <c r="T45" s="8"/>
      <c r="U45" s="8"/>
      <c r="V45" s="8"/>
      <c r="W45" s="8"/>
      <c r="X45" s="8"/>
      <c r="Y45" s="8"/>
      <c r="Z45" s="8"/>
      <c r="AA45" s="148"/>
    </row>
    <row r="46" spans="2:27" x14ac:dyDescent="0.25">
      <c r="B46" s="155" t="s">
        <v>252</v>
      </c>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56"/>
    </row>
    <row r="47" spans="2:27" x14ac:dyDescent="0.25">
      <c r="B47" s="157"/>
      <c r="C47" s="5" t="s">
        <v>253</v>
      </c>
      <c r="D47" s="8"/>
      <c r="E47" s="8"/>
      <c r="F47" s="8"/>
      <c r="G47" s="8"/>
      <c r="H47" s="8"/>
      <c r="I47" s="8"/>
      <c r="J47" s="8"/>
      <c r="K47" s="8"/>
      <c r="L47" s="8"/>
      <c r="M47" s="8"/>
      <c r="N47" s="8"/>
      <c r="O47" s="8"/>
      <c r="P47" s="8"/>
      <c r="Q47" s="8"/>
      <c r="R47" s="8"/>
      <c r="S47" s="8"/>
      <c r="T47" s="8"/>
      <c r="U47" s="8"/>
      <c r="V47" s="8"/>
      <c r="W47" s="8"/>
      <c r="X47" s="8"/>
      <c r="Y47" s="8"/>
      <c r="Z47" s="8"/>
      <c r="AA47" s="148"/>
    </row>
    <row r="48" spans="2:27" ht="15" customHeight="1" x14ac:dyDescent="0.25">
      <c r="B48" s="157"/>
      <c r="C48" s="5" t="s">
        <v>254</v>
      </c>
      <c r="D48" s="8"/>
      <c r="E48" s="8"/>
      <c r="F48" s="8"/>
      <c r="G48" s="8"/>
      <c r="H48" s="8"/>
      <c r="I48" s="8"/>
      <c r="J48" s="8"/>
      <c r="K48" s="8"/>
      <c r="L48" s="8"/>
      <c r="M48" s="8"/>
      <c r="N48" s="8"/>
      <c r="O48" s="8"/>
      <c r="P48" s="8"/>
      <c r="Q48" s="8"/>
      <c r="R48" s="8"/>
      <c r="S48" s="8"/>
      <c r="T48" s="8"/>
      <c r="U48" s="8"/>
      <c r="V48" s="8"/>
      <c r="W48" s="8"/>
      <c r="X48" s="8"/>
      <c r="Y48" s="8"/>
      <c r="Z48" s="8"/>
      <c r="AA48" s="148"/>
    </row>
    <row r="49" spans="2:27" x14ac:dyDescent="0.25">
      <c r="B49" s="157"/>
      <c r="C49" s="5" t="s">
        <v>255</v>
      </c>
      <c r="D49" s="8"/>
      <c r="E49" s="8"/>
      <c r="F49" s="8"/>
      <c r="G49" s="8"/>
      <c r="H49" s="8"/>
      <c r="I49" s="8"/>
      <c r="J49" s="8"/>
      <c r="K49" s="8"/>
      <c r="L49" s="8"/>
      <c r="M49" s="8"/>
      <c r="N49" s="8"/>
      <c r="O49" s="8"/>
      <c r="P49" s="8"/>
      <c r="Q49" s="8"/>
      <c r="R49" s="8"/>
      <c r="S49" s="8"/>
      <c r="T49" s="8"/>
      <c r="U49" s="8"/>
      <c r="V49" s="8"/>
      <c r="W49" s="8"/>
      <c r="X49" s="8"/>
      <c r="Y49" s="8"/>
      <c r="Z49" s="8"/>
      <c r="AA49" s="148"/>
    </row>
    <row r="50" spans="2:27" x14ac:dyDescent="0.25">
      <c r="B50" s="157"/>
      <c r="C50" s="8"/>
      <c r="D50" s="8"/>
      <c r="E50" s="8"/>
      <c r="F50" s="8"/>
      <c r="G50" s="8"/>
      <c r="H50" s="8"/>
      <c r="I50" s="8"/>
      <c r="J50" s="8"/>
      <c r="K50" s="8"/>
      <c r="L50" s="8"/>
      <c r="M50" s="8"/>
      <c r="N50" s="8"/>
      <c r="O50" s="8"/>
      <c r="P50" s="8"/>
      <c r="Q50" s="8"/>
      <c r="R50" s="8"/>
      <c r="S50" s="8"/>
      <c r="T50" s="8"/>
      <c r="U50" s="8"/>
      <c r="V50" s="8"/>
      <c r="W50" s="8"/>
      <c r="X50" s="8"/>
      <c r="Y50" s="8"/>
      <c r="Z50" s="8"/>
      <c r="AA50" s="148"/>
    </row>
    <row r="51" spans="2:27" x14ac:dyDescent="0.25">
      <c r="B51" s="157"/>
      <c r="C51" s="5" t="s">
        <v>256</v>
      </c>
      <c r="D51" s="8"/>
      <c r="E51" s="8"/>
      <c r="F51" s="8"/>
      <c r="G51" s="8"/>
      <c r="H51" s="8"/>
      <c r="I51" s="8"/>
      <c r="J51" s="8"/>
      <c r="K51" s="8"/>
      <c r="L51" s="8"/>
      <c r="M51" s="8"/>
      <c r="N51" s="8"/>
      <c r="O51" s="8"/>
      <c r="P51" s="8"/>
      <c r="Q51" s="8"/>
      <c r="R51" s="8"/>
      <c r="S51" s="8"/>
      <c r="T51" s="8"/>
      <c r="U51" s="8"/>
      <c r="V51" s="8"/>
      <c r="W51" s="8"/>
      <c r="X51" s="8"/>
      <c r="Y51" s="8"/>
      <c r="Z51" s="8"/>
      <c r="AA51" s="148"/>
    </row>
    <row r="52" spans="2:27" x14ac:dyDescent="0.25">
      <c r="B52" s="157"/>
      <c r="C52" s="135" t="s">
        <v>257</v>
      </c>
      <c r="D52" s="8"/>
      <c r="E52" s="8"/>
      <c r="F52" s="8"/>
      <c r="G52" s="8"/>
      <c r="H52" s="8"/>
      <c r="I52" s="8"/>
      <c r="J52" s="8"/>
      <c r="K52" s="8"/>
      <c r="L52" s="8"/>
      <c r="M52" s="8"/>
      <c r="N52" s="8"/>
      <c r="O52" s="8"/>
      <c r="P52" s="8"/>
      <c r="Q52" s="8"/>
      <c r="R52" s="8"/>
      <c r="S52" s="8"/>
      <c r="T52" s="8"/>
      <c r="U52" s="8"/>
      <c r="V52" s="8"/>
      <c r="W52" s="8"/>
      <c r="X52" s="8"/>
      <c r="Y52" s="8"/>
      <c r="Z52" s="8"/>
      <c r="AA52" s="148"/>
    </row>
    <row r="53" spans="2:27" x14ac:dyDescent="0.25">
      <c r="B53" s="157"/>
      <c r="C53" s="135" t="s">
        <v>258</v>
      </c>
      <c r="D53" s="8"/>
      <c r="E53" s="8"/>
      <c r="F53" s="8"/>
      <c r="G53" s="8"/>
      <c r="H53" s="8"/>
      <c r="I53" s="8"/>
      <c r="J53" s="8"/>
      <c r="K53" s="8"/>
      <c r="L53" s="8"/>
      <c r="M53" s="8"/>
      <c r="N53" s="8"/>
      <c r="O53" s="8"/>
      <c r="P53" s="8"/>
      <c r="Q53" s="8"/>
      <c r="R53" s="8"/>
      <c r="S53" s="8"/>
      <c r="T53" s="8"/>
      <c r="U53" s="8"/>
      <c r="V53" s="8"/>
      <c r="W53" s="8"/>
      <c r="X53" s="8"/>
      <c r="Y53" s="8"/>
      <c r="Z53" s="8"/>
      <c r="AA53" s="148"/>
    </row>
    <row r="54" spans="2:27" x14ac:dyDescent="0.25">
      <c r="B54" s="157"/>
      <c r="C54" s="135" t="s">
        <v>259</v>
      </c>
      <c r="D54" s="8"/>
      <c r="E54" s="8"/>
      <c r="F54" s="8"/>
      <c r="G54" s="8"/>
      <c r="H54" s="8"/>
      <c r="I54" s="8"/>
      <c r="J54" s="8"/>
      <c r="K54" s="8"/>
      <c r="L54" s="8"/>
      <c r="M54" s="8"/>
      <c r="N54" s="8"/>
      <c r="O54" s="8"/>
      <c r="P54" s="8"/>
      <c r="Q54" s="8"/>
      <c r="R54" s="8"/>
      <c r="S54" s="8"/>
      <c r="T54" s="8"/>
      <c r="U54" s="8"/>
      <c r="V54" s="8"/>
      <c r="W54" s="8"/>
      <c r="X54" s="8"/>
      <c r="Y54" s="8"/>
      <c r="Z54" s="8"/>
      <c r="AA54" s="148"/>
    </row>
    <row r="55" spans="2:27" x14ac:dyDescent="0.25">
      <c r="B55" s="157"/>
      <c r="C55" s="135" t="s">
        <v>260</v>
      </c>
      <c r="D55" s="8"/>
      <c r="E55" s="8"/>
      <c r="F55" s="8"/>
      <c r="G55" s="8"/>
      <c r="H55" s="8"/>
      <c r="I55" s="8"/>
      <c r="J55" s="8"/>
      <c r="K55" s="8"/>
      <c r="L55" s="8"/>
      <c r="M55" s="8"/>
      <c r="N55" s="8"/>
      <c r="O55" s="8"/>
      <c r="P55" s="8"/>
      <c r="Q55" s="8"/>
      <c r="R55" s="8"/>
      <c r="S55" s="8"/>
      <c r="T55" s="8"/>
      <c r="U55" s="8"/>
      <c r="V55" s="8"/>
      <c r="W55" s="8"/>
      <c r="X55" s="8"/>
      <c r="Y55" s="8"/>
      <c r="Z55" s="8"/>
      <c r="AA55" s="148"/>
    </row>
    <row r="56" spans="2:27" x14ac:dyDescent="0.25">
      <c r="B56" s="149"/>
      <c r="C56" s="8"/>
      <c r="D56" s="8"/>
      <c r="E56" s="8"/>
      <c r="F56" s="8"/>
      <c r="G56" s="8"/>
      <c r="H56" s="8"/>
      <c r="I56" s="8"/>
      <c r="J56" s="8"/>
      <c r="K56" s="8"/>
      <c r="L56" s="8"/>
      <c r="M56" s="8"/>
      <c r="N56" s="8"/>
      <c r="O56" s="8"/>
      <c r="P56" s="8"/>
      <c r="Q56" s="8"/>
      <c r="R56" s="8"/>
      <c r="S56" s="8"/>
      <c r="T56" s="8"/>
      <c r="U56" s="8"/>
      <c r="V56" s="8"/>
      <c r="W56" s="8"/>
      <c r="X56" s="8"/>
      <c r="Y56" s="8"/>
      <c r="Z56" s="8"/>
      <c r="AA56" s="148"/>
    </row>
    <row r="57" spans="2:27" x14ac:dyDescent="0.25">
      <c r="B57" s="158" t="s">
        <v>261</v>
      </c>
      <c r="C57" s="36"/>
      <c r="D57" s="36"/>
      <c r="E57" s="36"/>
      <c r="F57" s="36"/>
      <c r="G57" s="36"/>
      <c r="H57" s="36"/>
      <c r="I57" s="36"/>
      <c r="J57" s="36"/>
      <c r="K57" s="36"/>
      <c r="L57" s="36"/>
      <c r="M57" s="36"/>
      <c r="N57" s="36"/>
      <c r="O57" s="36"/>
      <c r="P57" s="36"/>
      <c r="Q57" s="36"/>
      <c r="R57" s="36"/>
      <c r="S57" s="36"/>
      <c r="T57" s="36"/>
      <c r="U57" s="36"/>
      <c r="V57" s="36"/>
      <c r="W57" s="36"/>
      <c r="X57" s="36"/>
      <c r="Y57" s="36"/>
      <c r="Z57" s="36"/>
      <c r="AA57" s="159"/>
    </row>
    <row r="58" spans="2:27" x14ac:dyDescent="0.25">
      <c r="B58" s="158"/>
      <c r="C58" s="8"/>
      <c r="D58" s="8"/>
      <c r="E58" s="8"/>
      <c r="F58" s="8"/>
      <c r="G58" s="8"/>
      <c r="H58" s="8"/>
      <c r="I58" s="8"/>
      <c r="J58" s="8"/>
      <c r="K58" s="8"/>
      <c r="L58" s="8"/>
      <c r="M58" s="8"/>
      <c r="N58" s="8"/>
      <c r="O58" s="8"/>
      <c r="P58" s="8"/>
      <c r="Q58" s="8"/>
      <c r="R58" s="8"/>
      <c r="S58" s="8"/>
      <c r="T58" s="8"/>
      <c r="U58" s="8"/>
      <c r="V58" s="8"/>
      <c r="W58" s="8"/>
      <c r="X58" s="8"/>
      <c r="Y58" s="8"/>
      <c r="Z58" s="8"/>
      <c r="AA58" s="148"/>
    </row>
    <row r="59" spans="2:27" x14ac:dyDescent="0.25">
      <c r="B59" s="158"/>
      <c r="C59" s="8"/>
      <c r="D59" s="8"/>
      <c r="E59" s="8"/>
      <c r="F59" s="8"/>
      <c r="G59" s="8"/>
      <c r="H59" s="8"/>
      <c r="I59" s="8"/>
      <c r="J59" s="8"/>
      <c r="K59" s="8"/>
      <c r="L59" s="8"/>
      <c r="M59" s="8"/>
      <c r="N59" s="8"/>
      <c r="O59" s="8"/>
      <c r="P59" s="8"/>
      <c r="Q59" s="8"/>
      <c r="R59" s="8"/>
      <c r="S59" s="8"/>
      <c r="T59" s="8"/>
      <c r="U59" s="8"/>
      <c r="V59" s="8"/>
      <c r="W59" s="8"/>
      <c r="X59" s="8"/>
      <c r="Y59" s="8"/>
      <c r="Z59" s="8"/>
      <c r="AA59" s="148"/>
    </row>
    <row r="60" spans="2:27" x14ac:dyDescent="0.25">
      <c r="B60" s="158"/>
      <c r="C60" s="8"/>
      <c r="D60" s="8"/>
      <c r="E60" s="8"/>
      <c r="F60" s="8"/>
      <c r="G60" s="8"/>
      <c r="H60" s="8"/>
      <c r="I60" s="8"/>
      <c r="J60" s="8"/>
      <c r="K60" s="8"/>
      <c r="L60" s="8"/>
      <c r="M60" s="8"/>
      <c r="N60" s="8"/>
      <c r="O60" s="8"/>
      <c r="P60" s="8"/>
      <c r="Q60" s="8"/>
      <c r="R60" s="8"/>
      <c r="S60" s="8"/>
      <c r="T60" s="8"/>
      <c r="U60" s="8"/>
      <c r="V60" s="8"/>
      <c r="W60" s="8"/>
      <c r="X60" s="8"/>
      <c r="Y60" s="8"/>
      <c r="Z60" s="8"/>
      <c r="AA60" s="148"/>
    </row>
    <row r="61" spans="2:27" x14ac:dyDescent="0.25">
      <c r="B61" s="158"/>
      <c r="C61" s="8"/>
      <c r="D61" s="8"/>
      <c r="E61" s="8"/>
      <c r="F61" s="8"/>
      <c r="G61" s="8"/>
      <c r="H61" s="8"/>
      <c r="I61" s="8"/>
      <c r="J61" s="8"/>
      <c r="K61" s="8"/>
      <c r="L61" s="8"/>
      <c r="M61" s="8"/>
      <c r="N61" s="8"/>
      <c r="O61" s="8"/>
      <c r="P61" s="8"/>
      <c r="Q61" s="8"/>
      <c r="R61" s="8"/>
      <c r="S61" s="8"/>
      <c r="T61" s="8"/>
      <c r="U61" s="8"/>
      <c r="V61" s="8"/>
      <c r="W61" s="8"/>
      <c r="X61" s="8"/>
      <c r="Y61" s="8"/>
      <c r="Z61" s="8"/>
      <c r="AA61" s="148"/>
    </row>
    <row r="62" spans="2:27" x14ac:dyDescent="0.25">
      <c r="B62" s="158"/>
      <c r="C62" s="8"/>
      <c r="D62" s="8"/>
      <c r="E62" s="8"/>
      <c r="F62" s="8"/>
      <c r="G62" s="8"/>
      <c r="H62" s="8"/>
      <c r="I62" s="8"/>
      <c r="J62" s="8"/>
      <c r="K62" s="8"/>
      <c r="L62" s="8"/>
      <c r="M62" s="8"/>
      <c r="N62" s="8"/>
      <c r="O62" s="8"/>
      <c r="P62" s="8"/>
      <c r="Q62" s="8"/>
      <c r="R62" s="8"/>
      <c r="S62" s="8"/>
      <c r="T62" s="8"/>
      <c r="U62" s="8"/>
      <c r="V62" s="8"/>
      <c r="W62" s="8"/>
      <c r="X62" s="8"/>
      <c r="Y62" s="8"/>
      <c r="Z62" s="8"/>
      <c r="AA62" s="148"/>
    </row>
    <row r="63" spans="2:27" x14ac:dyDescent="0.25">
      <c r="B63" s="158"/>
      <c r="C63" s="8"/>
      <c r="D63" s="8"/>
      <c r="E63" s="8"/>
      <c r="F63" s="8"/>
      <c r="G63" s="8"/>
      <c r="H63" s="8"/>
      <c r="I63" s="8"/>
      <c r="J63" s="8"/>
      <c r="K63" s="8"/>
      <c r="L63" s="8"/>
      <c r="M63" s="8"/>
      <c r="N63" s="8"/>
      <c r="O63" s="8"/>
      <c r="P63" s="8"/>
      <c r="Q63" s="8"/>
      <c r="R63" s="8"/>
      <c r="S63" s="8"/>
      <c r="T63" s="8"/>
      <c r="U63" s="8"/>
      <c r="V63" s="8"/>
      <c r="W63" s="8"/>
      <c r="X63" s="8"/>
      <c r="Y63" s="8"/>
      <c r="Z63" s="8"/>
      <c r="AA63" s="148"/>
    </row>
    <row r="64" spans="2:27" x14ac:dyDescent="0.25">
      <c r="B64" s="158"/>
      <c r="C64" s="8"/>
      <c r="D64" s="8"/>
      <c r="E64" s="8"/>
      <c r="F64" s="8"/>
      <c r="G64" s="8"/>
      <c r="H64" s="8"/>
      <c r="I64" s="8"/>
      <c r="J64" s="8"/>
      <c r="K64" s="8"/>
      <c r="L64" s="8"/>
      <c r="M64" s="8"/>
      <c r="N64" s="8"/>
      <c r="O64" s="8"/>
      <c r="P64" s="8"/>
      <c r="Q64" s="8"/>
      <c r="R64" s="8"/>
      <c r="S64" s="8"/>
      <c r="T64" s="8"/>
      <c r="U64" s="8"/>
      <c r="V64" s="8"/>
      <c r="W64" s="8"/>
      <c r="X64" s="8"/>
      <c r="Y64" s="8"/>
      <c r="Z64" s="8"/>
      <c r="AA64" s="148"/>
    </row>
    <row r="65" spans="2:27" x14ac:dyDescent="0.25">
      <c r="B65" s="158"/>
      <c r="C65" s="8"/>
      <c r="D65" s="8"/>
      <c r="E65" s="8"/>
      <c r="F65" s="8"/>
      <c r="G65" s="8"/>
      <c r="H65" s="8"/>
      <c r="I65" s="8"/>
      <c r="J65" s="8"/>
      <c r="K65" s="8"/>
      <c r="L65" s="8"/>
      <c r="M65" s="8"/>
      <c r="N65" s="8"/>
      <c r="O65" s="8"/>
      <c r="P65" s="8"/>
      <c r="Q65" s="8"/>
      <c r="R65" s="8"/>
      <c r="S65" s="8"/>
      <c r="T65" s="8"/>
      <c r="U65" s="8"/>
      <c r="V65" s="8"/>
      <c r="W65" s="8"/>
      <c r="X65" s="8"/>
      <c r="Y65" s="8"/>
      <c r="Z65" s="8"/>
      <c r="AA65" s="148"/>
    </row>
    <row r="66" spans="2:27" x14ac:dyDescent="0.25">
      <c r="B66" s="158"/>
      <c r="C66" s="8"/>
      <c r="D66" s="8"/>
      <c r="E66" s="8"/>
      <c r="F66" s="8"/>
      <c r="G66" s="8"/>
      <c r="H66" s="8"/>
      <c r="I66" s="8"/>
      <c r="J66" s="8"/>
      <c r="K66" s="8"/>
      <c r="L66" s="8"/>
      <c r="M66" s="8"/>
      <c r="N66" s="8"/>
      <c r="O66" s="8"/>
      <c r="P66" s="8"/>
      <c r="Q66" s="8"/>
      <c r="R66" s="8"/>
      <c r="S66" s="8"/>
      <c r="T66" s="8"/>
      <c r="U66" s="8"/>
      <c r="V66" s="8"/>
      <c r="W66" s="8"/>
      <c r="X66" s="8"/>
      <c r="Y66" s="8"/>
      <c r="Z66" s="8"/>
      <c r="AA66" s="148"/>
    </row>
    <row r="67" spans="2:27" x14ac:dyDescent="0.25">
      <c r="B67" s="158"/>
      <c r="C67" s="8"/>
      <c r="D67" s="8"/>
      <c r="E67" s="8"/>
      <c r="F67" s="8"/>
      <c r="G67" s="8"/>
      <c r="H67" s="8"/>
      <c r="I67" s="8"/>
      <c r="J67" s="8"/>
      <c r="K67" s="8"/>
      <c r="L67" s="8"/>
      <c r="M67" s="8"/>
      <c r="N67" s="8"/>
      <c r="O67" s="8"/>
      <c r="P67" s="8"/>
      <c r="Q67" s="8"/>
      <c r="R67" s="8"/>
      <c r="S67" s="8"/>
      <c r="T67" s="8"/>
      <c r="U67" s="8"/>
      <c r="V67" s="8"/>
      <c r="W67" s="8"/>
      <c r="X67" s="8"/>
      <c r="Y67" s="8"/>
      <c r="Z67" s="8"/>
      <c r="AA67" s="148"/>
    </row>
    <row r="68" spans="2:27" x14ac:dyDescent="0.25">
      <c r="B68" s="158"/>
      <c r="C68" s="8"/>
      <c r="D68" s="8"/>
      <c r="E68" s="8"/>
      <c r="F68" s="8"/>
      <c r="G68" s="8"/>
      <c r="H68" s="8"/>
      <c r="I68" s="8"/>
      <c r="J68" s="8"/>
      <c r="K68" s="8"/>
      <c r="L68" s="8"/>
      <c r="M68" s="8"/>
      <c r="N68" s="8"/>
      <c r="O68" s="8"/>
      <c r="P68" s="8"/>
      <c r="Q68" s="8"/>
      <c r="R68" s="8"/>
      <c r="S68" s="8"/>
      <c r="T68" s="8"/>
      <c r="U68" s="8"/>
      <c r="V68" s="8"/>
      <c r="W68" s="8"/>
      <c r="X68" s="8"/>
      <c r="Y68" s="8"/>
      <c r="Z68" s="8"/>
      <c r="AA68" s="148"/>
    </row>
    <row r="69" spans="2:27" x14ac:dyDescent="0.25">
      <c r="B69" s="158"/>
      <c r="C69" s="8"/>
      <c r="D69" s="8"/>
      <c r="E69" s="8"/>
      <c r="F69" s="8"/>
      <c r="G69" s="8"/>
      <c r="H69" s="8"/>
      <c r="I69" s="8"/>
      <c r="J69" s="8"/>
      <c r="K69" s="8"/>
      <c r="L69" s="8"/>
      <c r="M69" s="8"/>
      <c r="N69" s="8"/>
      <c r="O69" s="8"/>
      <c r="P69" s="8"/>
      <c r="Q69" s="8"/>
      <c r="R69" s="8"/>
      <c r="S69" s="8"/>
      <c r="T69" s="8"/>
      <c r="U69" s="8"/>
      <c r="V69" s="8"/>
      <c r="W69" s="8"/>
      <c r="X69" s="8"/>
      <c r="Y69" s="8"/>
      <c r="Z69" s="8"/>
      <c r="AA69" s="148"/>
    </row>
    <row r="70" spans="2:27" x14ac:dyDescent="0.25">
      <c r="B70" s="158"/>
      <c r="C70" s="8"/>
      <c r="D70" s="8"/>
      <c r="E70" s="8"/>
      <c r="F70" s="8"/>
      <c r="G70" s="8"/>
      <c r="H70" s="8"/>
      <c r="I70" s="8"/>
      <c r="J70" s="8"/>
      <c r="K70" s="8"/>
      <c r="L70" s="8"/>
      <c r="M70" s="8"/>
      <c r="N70" s="8"/>
      <c r="O70" s="8"/>
      <c r="P70" s="8"/>
      <c r="Q70" s="8"/>
      <c r="R70" s="8"/>
      <c r="S70" s="8"/>
      <c r="T70" s="8"/>
      <c r="U70" s="8"/>
      <c r="V70" s="8"/>
      <c r="W70" s="8"/>
      <c r="X70" s="8"/>
      <c r="Y70" s="8"/>
      <c r="Z70" s="8"/>
      <c r="AA70" s="148"/>
    </row>
    <row r="71" spans="2:27" x14ac:dyDescent="0.25">
      <c r="B71" s="158"/>
      <c r="C71" s="8"/>
      <c r="D71" s="8"/>
      <c r="E71" s="8"/>
      <c r="F71" s="8"/>
      <c r="G71" s="8"/>
      <c r="H71" s="8"/>
      <c r="I71" s="8"/>
      <c r="J71" s="8"/>
      <c r="K71" s="8"/>
      <c r="L71" s="8"/>
      <c r="M71" s="8"/>
      <c r="N71" s="8"/>
      <c r="O71" s="8"/>
      <c r="P71" s="8"/>
      <c r="Q71" s="8"/>
      <c r="R71" s="8"/>
      <c r="S71" s="8"/>
      <c r="T71" s="8"/>
      <c r="U71" s="8"/>
      <c r="V71" s="8"/>
      <c r="W71" s="8"/>
      <c r="X71" s="8"/>
      <c r="Y71" s="8"/>
      <c r="Z71" s="8"/>
      <c r="AA71" s="148"/>
    </row>
    <row r="72" spans="2:27" x14ac:dyDescent="0.25">
      <c r="B72" s="158"/>
      <c r="C72" s="8"/>
      <c r="D72" s="8"/>
      <c r="E72" s="8"/>
      <c r="F72" s="8"/>
      <c r="G72" s="8"/>
      <c r="H72" s="8"/>
      <c r="I72" s="8"/>
      <c r="J72" s="8"/>
      <c r="K72" s="8"/>
      <c r="L72" s="8"/>
      <c r="M72" s="8"/>
      <c r="N72" s="8"/>
      <c r="O72" s="8"/>
      <c r="P72" s="8"/>
      <c r="Q72" s="8"/>
      <c r="R72" s="8"/>
      <c r="S72" s="8"/>
      <c r="T72" s="8"/>
      <c r="U72" s="8"/>
      <c r="V72" s="8"/>
      <c r="W72" s="8"/>
      <c r="X72" s="8"/>
      <c r="Y72" s="8"/>
      <c r="Z72" s="8"/>
      <c r="AA72" s="148"/>
    </row>
    <row r="73" spans="2:27" x14ac:dyDescent="0.25">
      <c r="B73" s="158"/>
      <c r="C73" s="8"/>
      <c r="D73" s="8"/>
      <c r="E73" s="8"/>
      <c r="F73" s="8"/>
      <c r="G73" s="8"/>
      <c r="H73" s="8"/>
      <c r="I73" s="8"/>
      <c r="J73" s="8"/>
      <c r="K73" s="8"/>
      <c r="L73" s="8"/>
      <c r="M73" s="8"/>
      <c r="N73" s="8"/>
      <c r="O73" s="8"/>
      <c r="P73" s="8"/>
      <c r="Q73" s="8"/>
      <c r="R73" s="8"/>
      <c r="S73" s="8"/>
      <c r="T73" s="8"/>
      <c r="U73" s="8"/>
      <c r="V73" s="8"/>
      <c r="W73" s="8"/>
      <c r="X73" s="8"/>
      <c r="Y73" s="8"/>
      <c r="Z73" s="8"/>
      <c r="AA73" s="148"/>
    </row>
    <row r="74" spans="2:27" x14ac:dyDescent="0.25">
      <c r="B74" s="158"/>
      <c r="C74" s="8"/>
      <c r="D74" s="8"/>
      <c r="E74" s="8"/>
      <c r="F74" s="8"/>
      <c r="G74" s="8"/>
      <c r="H74" s="8"/>
      <c r="I74" s="8"/>
      <c r="J74" s="8"/>
      <c r="K74" s="8"/>
      <c r="L74" s="8"/>
      <c r="M74" s="8"/>
      <c r="N74" s="8"/>
      <c r="O74" s="8"/>
      <c r="P74" s="8"/>
      <c r="Q74" s="8"/>
      <c r="R74" s="8"/>
      <c r="S74" s="8"/>
      <c r="T74" s="8"/>
      <c r="U74" s="8"/>
      <c r="V74" s="8"/>
      <c r="W74" s="8"/>
      <c r="X74" s="8"/>
      <c r="Y74" s="8"/>
      <c r="Z74" s="8"/>
      <c r="AA74" s="148"/>
    </row>
    <row r="75" spans="2:27" x14ac:dyDescent="0.25">
      <c r="B75" s="158"/>
      <c r="C75" s="8"/>
      <c r="D75" s="8"/>
      <c r="E75" s="8"/>
      <c r="F75" s="8"/>
      <c r="G75" s="8"/>
      <c r="H75" s="8"/>
      <c r="I75" s="8"/>
      <c r="J75" s="8"/>
      <c r="K75" s="8"/>
      <c r="L75" s="8"/>
      <c r="M75" s="8"/>
      <c r="N75" s="8"/>
      <c r="O75" s="8"/>
      <c r="P75" s="8"/>
      <c r="Q75" s="8"/>
      <c r="R75" s="8"/>
      <c r="S75" s="8"/>
      <c r="T75" s="8"/>
      <c r="U75" s="8"/>
      <c r="V75" s="8"/>
      <c r="W75" s="8"/>
      <c r="X75" s="8"/>
      <c r="Y75" s="8"/>
      <c r="Z75" s="8"/>
      <c r="AA75" s="148"/>
    </row>
    <row r="76" spans="2:27" x14ac:dyDescent="0.25">
      <c r="B76" s="158"/>
      <c r="C76" s="5" t="s">
        <v>268</v>
      </c>
      <c r="D76" s="8"/>
      <c r="E76" s="8"/>
      <c r="F76" s="8"/>
      <c r="G76" s="8"/>
      <c r="H76" s="8"/>
      <c r="I76" s="8"/>
      <c r="J76" s="8"/>
      <c r="K76" s="8"/>
      <c r="L76" s="8"/>
      <c r="M76" s="8"/>
      <c r="N76" s="8"/>
      <c r="O76" s="8"/>
      <c r="P76" s="8"/>
      <c r="Q76" s="8"/>
      <c r="R76" s="8"/>
      <c r="S76" s="8"/>
      <c r="T76" s="8"/>
      <c r="U76" s="8"/>
      <c r="V76" s="8"/>
      <c r="W76" s="8"/>
      <c r="X76" s="8"/>
      <c r="Y76" s="8"/>
      <c r="Z76" s="8"/>
      <c r="AA76" s="148"/>
    </row>
    <row r="77" spans="2:27" x14ac:dyDescent="0.25">
      <c r="B77" s="158"/>
      <c r="C77" s="5" t="s">
        <v>269</v>
      </c>
      <c r="D77" s="8"/>
      <c r="E77" s="8"/>
      <c r="F77" s="8"/>
      <c r="G77" s="8"/>
      <c r="H77" s="8"/>
      <c r="I77" s="8"/>
      <c r="J77" s="8"/>
      <c r="K77" s="8"/>
      <c r="L77" s="8"/>
      <c r="M77" s="8"/>
      <c r="N77" s="8"/>
      <c r="O77" s="8"/>
      <c r="P77" s="8"/>
      <c r="Q77" s="8"/>
      <c r="R77" s="8"/>
      <c r="S77" s="8"/>
      <c r="T77" s="8"/>
      <c r="U77" s="8"/>
      <c r="V77" s="8"/>
      <c r="W77" s="8"/>
      <c r="X77" s="8"/>
      <c r="Y77" s="8"/>
      <c r="Z77" s="8"/>
      <c r="AA77" s="148"/>
    </row>
    <row r="78" spans="2:27" x14ac:dyDescent="0.25">
      <c r="B78" s="158"/>
      <c r="C78" s="5" t="s">
        <v>270</v>
      </c>
      <c r="D78" s="8"/>
      <c r="E78" s="8"/>
      <c r="F78" s="8"/>
      <c r="G78" s="8"/>
      <c r="H78" s="8"/>
      <c r="I78" s="8"/>
      <c r="J78" s="8"/>
      <c r="K78" s="8"/>
      <c r="L78" s="8"/>
      <c r="M78" s="8"/>
      <c r="N78" s="8"/>
      <c r="O78" s="8"/>
      <c r="P78" s="8"/>
      <c r="Q78" s="8"/>
      <c r="R78" s="8"/>
      <c r="S78" s="8"/>
      <c r="T78" s="8"/>
      <c r="U78" s="8"/>
      <c r="V78" s="8"/>
      <c r="W78" s="8"/>
      <c r="X78" s="8"/>
      <c r="Y78" s="8"/>
      <c r="Z78" s="8"/>
      <c r="AA78" s="148"/>
    </row>
    <row r="79" spans="2:27" x14ac:dyDescent="0.25">
      <c r="B79" s="158"/>
      <c r="C79" s="5" t="s">
        <v>271</v>
      </c>
      <c r="D79" s="8"/>
      <c r="E79" s="8"/>
      <c r="F79" s="8"/>
      <c r="G79" s="8"/>
      <c r="H79" s="8"/>
      <c r="I79" s="8"/>
      <c r="J79" s="8"/>
      <c r="K79" s="8"/>
      <c r="L79" s="8"/>
      <c r="M79" s="8"/>
      <c r="N79" s="8"/>
      <c r="O79" s="8"/>
      <c r="P79" s="8"/>
      <c r="Q79" s="8"/>
      <c r="R79" s="8"/>
      <c r="S79" s="8"/>
      <c r="T79" s="8"/>
      <c r="U79" s="8"/>
      <c r="V79" s="8"/>
      <c r="W79" s="8"/>
      <c r="X79" s="8"/>
      <c r="Y79" s="8"/>
      <c r="Z79" s="8"/>
      <c r="AA79" s="148"/>
    </row>
    <row r="80" spans="2:27" x14ac:dyDescent="0.25">
      <c r="B80" s="158"/>
      <c r="C80" s="5" t="s">
        <v>262</v>
      </c>
      <c r="D80" s="8"/>
      <c r="E80" s="8"/>
      <c r="F80" s="8"/>
      <c r="G80" s="8"/>
      <c r="H80" s="8"/>
      <c r="I80" s="8"/>
      <c r="J80" s="8"/>
      <c r="K80" s="8"/>
      <c r="L80" s="8"/>
      <c r="M80" s="8"/>
      <c r="N80" s="8"/>
      <c r="O80" s="8"/>
      <c r="P80" s="8"/>
      <c r="Q80" s="8"/>
      <c r="R80" s="8"/>
      <c r="S80" s="8"/>
      <c r="T80" s="8"/>
      <c r="U80" s="8"/>
      <c r="V80" s="8"/>
      <c r="W80" s="8"/>
      <c r="X80" s="8"/>
      <c r="Y80" s="8"/>
      <c r="Z80" s="8"/>
      <c r="AA80" s="148"/>
    </row>
    <row r="81" spans="2:27" x14ac:dyDescent="0.25">
      <c r="B81" s="158"/>
      <c r="C81" s="5" t="s">
        <v>272</v>
      </c>
      <c r="D81" s="8"/>
      <c r="E81" s="8"/>
      <c r="F81" s="8"/>
      <c r="G81" s="8"/>
      <c r="H81" s="8"/>
      <c r="I81" s="8"/>
      <c r="J81" s="8"/>
      <c r="K81" s="8"/>
      <c r="L81" s="8"/>
      <c r="M81" s="8"/>
      <c r="N81" s="8"/>
      <c r="O81" s="8"/>
      <c r="P81" s="8"/>
      <c r="Q81" s="8"/>
      <c r="R81" s="8"/>
      <c r="S81" s="8"/>
      <c r="T81" s="8"/>
      <c r="U81" s="8"/>
      <c r="V81" s="8"/>
      <c r="W81" s="8"/>
      <c r="X81" s="8"/>
      <c r="Y81" s="8"/>
      <c r="Z81" s="8"/>
      <c r="AA81" s="148"/>
    </row>
    <row r="82" spans="2:27" x14ac:dyDescent="0.25">
      <c r="B82" s="158"/>
      <c r="C82" s="5" t="s">
        <v>273</v>
      </c>
      <c r="D82" s="8"/>
      <c r="E82" s="8"/>
      <c r="F82" s="8"/>
      <c r="G82" s="8"/>
      <c r="H82" s="143"/>
      <c r="I82" s="143"/>
      <c r="J82" s="8"/>
      <c r="K82" s="8"/>
      <c r="L82" s="8"/>
      <c r="M82" s="8"/>
      <c r="N82" s="8"/>
      <c r="O82" s="8"/>
      <c r="P82" s="8"/>
      <c r="Q82" s="8"/>
      <c r="R82" s="8"/>
      <c r="S82" s="8"/>
      <c r="T82" s="8"/>
      <c r="U82" s="8"/>
      <c r="V82" s="8"/>
      <c r="W82" s="8"/>
      <c r="X82" s="8"/>
      <c r="Y82" s="8"/>
      <c r="Z82" s="8"/>
      <c r="AA82" s="148"/>
    </row>
    <row r="83" spans="2:27" x14ac:dyDescent="0.25">
      <c r="B83" s="158"/>
      <c r="C83" s="5" t="s">
        <v>274</v>
      </c>
      <c r="D83" s="8"/>
      <c r="E83" s="8"/>
      <c r="F83" s="8"/>
      <c r="G83" s="8"/>
      <c r="H83" s="8"/>
      <c r="I83" s="8"/>
      <c r="J83" s="8"/>
      <c r="K83" s="8"/>
      <c r="L83" s="8"/>
      <c r="M83" s="8"/>
      <c r="N83" s="8"/>
      <c r="O83" s="8"/>
      <c r="P83" s="8"/>
      <c r="Q83" s="8"/>
      <c r="R83" s="8"/>
      <c r="S83" s="8"/>
      <c r="T83" s="8"/>
      <c r="U83" s="8"/>
      <c r="V83" s="8"/>
      <c r="W83" s="8"/>
      <c r="X83" s="8"/>
      <c r="Y83" s="8"/>
      <c r="Z83" s="8"/>
      <c r="AA83" s="148"/>
    </row>
    <row r="84" spans="2:27" x14ac:dyDescent="0.25">
      <c r="B84" s="158"/>
      <c r="C84" s="144" t="s">
        <v>275</v>
      </c>
      <c r="D84" s="8"/>
      <c r="E84" s="8"/>
      <c r="F84" s="8"/>
      <c r="G84" s="8"/>
      <c r="H84" s="8"/>
      <c r="I84" s="8"/>
      <c r="J84" s="8"/>
      <c r="K84" s="8"/>
      <c r="L84" s="8"/>
      <c r="M84" s="8"/>
      <c r="N84" s="8"/>
      <c r="O84" s="8"/>
      <c r="P84" s="8"/>
      <c r="Q84" s="8"/>
      <c r="R84" s="8"/>
      <c r="S84" s="8"/>
      <c r="T84" s="8"/>
      <c r="U84" s="8"/>
      <c r="V84" s="8"/>
      <c r="W84" s="8"/>
      <c r="X84" s="8"/>
      <c r="Y84" s="8"/>
      <c r="Z84" s="8"/>
      <c r="AA84" s="148"/>
    </row>
    <row r="85" spans="2:27" x14ac:dyDescent="0.25">
      <c r="B85" s="158"/>
      <c r="C85" s="5" t="s">
        <v>276</v>
      </c>
      <c r="D85" s="8"/>
      <c r="E85" s="8"/>
      <c r="F85" s="8"/>
      <c r="G85" s="8"/>
      <c r="H85" s="8"/>
      <c r="I85" s="8"/>
      <c r="J85" s="8"/>
      <c r="K85" s="8"/>
      <c r="L85" s="8"/>
      <c r="M85" s="8"/>
      <c r="N85" s="8"/>
      <c r="O85" s="8"/>
      <c r="P85" s="8"/>
      <c r="Q85" s="8"/>
      <c r="R85" s="8"/>
      <c r="S85" s="8"/>
      <c r="T85" s="8"/>
      <c r="U85" s="8"/>
      <c r="V85" s="8"/>
      <c r="W85" s="8"/>
      <c r="X85" s="8"/>
      <c r="Y85" s="8"/>
      <c r="Z85" s="8"/>
      <c r="AA85" s="148"/>
    </row>
    <row r="86" spans="2:27" x14ac:dyDescent="0.25">
      <c r="B86" s="158"/>
      <c r="C86" s="5" t="s">
        <v>263</v>
      </c>
      <c r="D86" s="8"/>
      <c r="E86" s="8"/>
      <c r="F86" s="8"/>
      <c r="G86" s="8"/>
      <c r="H86" s="8"/>
      <c r="I86" s="8"/>
      <c r="J86" s="8"/>
      <c r="K86" s="8"/>
      <c r="L86" s="8"/>
      <c r="M86" s="8"/>
      <c r="N86" s="8"/>
      <c r="O86" s="8"/>
      <c r="P86" s="8"/>
      <c r="Q86" s="8"/>
      <c r="R86" s="8"/>
      <c r="S86" s="8"/>
      <c r="T86" s="8"/>
      <c r="U86" s="8"/>
      <c r="V86" s="8"/>
      <c r="W86" s="8"/>
      <c r="X86" s="8"/>
      <c r="Y86" s="8"/>
      <c r="Z86" s="8"/>
      <c r="AA86" s="148"/>
    </row>
    <row r="87" spans="2:27" x14ac:dyDescent="0.25">
      <c r="B87" s="158"/>
      <c r="C87" s="144" t="s">
        <v>278</v>
      </c>
      <c r="D87" s="8"/>
      <c r="E87" s="8"/>
      <c r="F87" s="8"/>
      <c r="G87" s="8"/>
      <c r="H87" s="8"/>
      <c r="I87" s="8"/>
      <c r="J87" s="8"/>
      <c r="K87" s="8"/>
      <c r="L87" s="8"/>
      <c r="M87" s="8"/>
      <c r="N87" s="8"/>
      <c r="O87" s="8"/>
      <c r="P87" s="8"/>
      <c r="Q87" s="8"/>
      <c r="R87" s="8"/>
      <c r="S87" s="8"/>
      <c r="T87" s="8"/>
      <c r="U87" s="8"/>
      <c r="V87" s="8"/>
      <c r="W87" s="8"/>
      <c r="X87" s="8"/>
      <c r="Y87" s="8"/>
      <c r="Z87" s="8"/>
      <c r="AA87" s="148"/>
    </row>
    <row r="88" spans="2:27" x14ac:dyDescent="0.25">
      <c r="B88" s="158"/>
      <c r="C88" s="5" t="s">
        <v>277</v>
      </c>
      <c r="D88" s="8"/>
      <c r="E88" s="8"/>
      <c r="F88" s="8"/>
      <c r="G88" s="8"/>
      <c r="H88" s="8"/>
      <c r="I88" s="8"/>
      <c r="J88" s="8"/>
      <c r="K88" s="8"/>
      <c r="L88" s="8"/>
      <c r="M88" s="8"/>
      <c r="N88" s="8"/>
      <c r="O88" s="8"/>
      <c r="P88" s="8"/>
      <c r="Q88" s="8"/>
      <c r="R88" s="8"/>
      <c r="S88" s="8"/>
      <c r="T88" s="8"/>
      <c r="U88" s="8"/>
      <c r="V88" s="8"/>
      <c r="W88" s="8"/>
      <c r="X88" s="8"/>
      <c r="Y88" s="8"/>
      <c r="Z88" s="8"/>
      <c r="AA88" s="148"/>
    </row>
    <row r="89" spans="2:27" x14ac:dyDescent="0.25">
      <c r="B89" s="158"/>
      <c r="C89" s="144" t="s">
        <v>279</v>
      </c>
      <c r="D89" s="8"/>
      <c r="E89" s="8"/>
      <c r="F89" s="8"/>
      <c r="G89" s="8"/>
      <c r="H89" s="8"/>
      <c r="I89" s="8"/>
      <c r="J89" s="8"/>
      <c r="K89" s="8"/>
      <c r="L89" s="8"/>
      <c r="M89" s="8"/>
      <c r="N89" s="8"/>
      <c r="O89" s="8"/>
      <c r="P89" s="8"/>
      <c r="Q89" s="8"/>
      <c r="R89" s="8"/>
      <c r="S89" s="8"/>
      <c r="T89" s="8"/>
      <c r="U89" s="8"/>
      <c r="V89" s="8"/>
      <c r="W89" s="8"/>
      <c r="X89" s="8"/>
      <c r="Y89" s="8"/>
      <c r="Z89" s="8"/>
      <c r="AA89" s="148"/>
    </row>
    <row r="90" spans="2:27" x14ac:dyDescent="0.25">
      <c r="B90" s="158"/>
      <c r="C90" s="144" t="s">
        <v>280</v>
      </c>
      <c r="D90" s="8"/>
      <c r="E90" s="8"/>
      <c r="F90" s="8"/>
      <c r="G90" s="8"/>
      <c r="H90" s="8"/>
      <c r="I90" s="8"/>
      <c r="J90" s="8"/>
      <c r="K90" s="8"/>
      <c r="L90" s="8"/>
      <c r="M90" s="8"/>
      <c r="N90" s="8"/>
      <c r="O90" s="8"/>
      <c r="P90" s="8"/>
      <c r="Q90" s="8"/>
      <c r="R90" s="8"/>
      <c r="S90" s="8"/>
      <c r="T90" s="8"/>
      <c r="U90" s="8"/>
      <c r="V90" s="8"/>
      <c r="W90" s="8"/>
      <c r="X90" s="8"/>
      <c r="Y90" s="8"/>
      <c r="Z90" s="8"/>
      <c r="AA90" s="148"/>
    </row>
    <row r="91" spans="2:27" ht="15.75" thickBot="1" x14ac:dyDescent="0.3">
      <c r="B91" s="160"/>
      <c r="C91" s="161" t="s">
        <v>264</v>
      </c>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3"/>
    </row>
    <row r="92" spans="2:27" ht="16.5" thickTop="1" thickBot="1" x14ac:dyDescent="0.3"/>
    <row r="93" spans="2:27" ht="15.75" thickTop="1" x14ac:dyDescent="0.25">
      <c r="B93" s="164" t="s">
        <v>283</v>
      </c>
      <c r="C93" s="165"/>
      <c r="D93" s="165"/>
      <c r="E93" s="165"/>
      <c r="F93" s="165"/>
      <c r="G93" s="165"/>
      <c r="H93" s="165"/>
      <c r="I93" s="166"/>
    </row>
    <row r="94" spans="2:27" x14ac:dyDescent="0.25">
      <c r="B94" s="167"/>
      <c r="C94" s="144" t="s">
        <v>284</v>
      </c>
      <c r="D94" s="8"/>
      <c r="E94" s="8"/>
      <c r="F94" s="8"/>
      <c r="G94" s="8"/>
      <c r="H94" s="8"/>
      <c r="I94" s="168"/>
    </row>
    <row r="95" spans="2:27" x14ac:dyDescent="0.25">
      <c r="B95" s="167"/>
      <c r="C95" s="8"/>
      <c r="D95" s="8"/>
      <c r="E95" s="8"/>
      <c r="F95" s="8"/>
      <c r="G95" s="8"/>
      <c r="H95" s="8"/>
      <c r="I95" s="168"/>
    </row>
    <row r="96" spans="2:27" x14ac:dyDescent="0.25">
      <c r="B96" s="167"/>
      <c r="C96" s="8"/>
      <c r="D96" s="8"/>
      <c r="E96" s="8"/>
      <c r="F96" s="8"/>
      <c r="G96" s="8"/>
      <c r="H96" s="8"/>
      <c r="I96" s="168"/>
    </row>
    <row r="97" spans="2:9" x14ac:dyDescent="0.25">
      <c r="B97" s="167"/>
      <c r="C97" s="8"/>
      <c r="D97" s="8"/>
      <c r="E97" s="8"/>
      <c r="F97" s="8"/>
      <c r="G97" s="8"/>
      <c r="H97" s="8"/>
      <c r="I97" s="168"/>
    </row>
    <row r="98" spans="2:9" x14ac:dyDescent="0.25">
      <c r="B98" s="167"/>
      <c r="C98" s="8"/>
      <c r="D98" s="8"/>
      <c r="E98" s="8"/>
      <c r="F98" s="8"/>
      <c r="G98" s="8"/>
      <c r="H98" s="8"/>
      <c r="I98" s="168"/>
    </row>
    <row r="99" spans="2:9" x14ac:dyDescent="0.25">
      <c r="B99" s="167"/>
      <c r="C99" s="8"/>
      <c r="D99" s="8"/>
      <c r="E99" s="8"/>
      <c r="F99" s="8"/>
      <c r="G99" s="8"/>
      <c r="H99" s="8"/>
      <c r="I99" s="168"/>
    </row>
    <row r="100" spans="2:9" x14ac:dyDescent="0.25">
      <c r="B100" s="167"/>
      <c r="C100" s="8"/>
      <c r="D100" s="8"/>
      <c r="E100" s="8"/>
      <c r="F100" s="8"/>
      <c r="G100" s="8"/>
      <c r="H100" s="8"/>
      <c r="I100" s="168"/>
    </row>
    <row r="101" spans="2:9" x14ac:dyDescent="0.25">
      <c r="B101" s="167"/>
      <c r="C101" s="8"/>
      <c r="D101" s="8"/>
      <c r="E101" s="8"/>
      <c r="F101" s="8"/>
      <c r="G101" s="8"/>
      <c r="H101" s="8"/>
      <c r="I101" s="168"/>
    </row>
    <row r="102" spans="2:9" x14ac:dyDescent="0.25">
      <c r="B102" s="167"/>
      <c r="C102" s="8" t="s">
        <v>285</v>
      </c>
      <c r="D102" s="8"/>
      <c r="E102" s="8"/>
      <c r="F102" s="8"/>
      <c r="G102" s="8"/>
      <c r="H102" s="8"/>
      <c r="I102" s="168"/>
    </row>
    <row r="103" spans="2:9" x14ac:dyDescent="0.25">
      <c r="B103" s="167"/>
      <c r="C103" s="8" t="s">
        <v>286</v>
      </c>
      <c r="D103" s="8"/>
      <c r="E103" s="8"/>
      <c r="F103" s="8"/>
      <c r="G103" s="8"/>
      <c r="H103" s="8"/>
      <c r="I103" s="168"/>
    </row>
    <row r="104" spans="2:9" x14ac:dyDescent="0.25">
      <c r="B104" s="167"/>
      <c r="C104" s="8" t="s">
        <v>287</v>
      </c>
      <c r="D104" s="8"/>
      <c r="E104" s="8"/>
      <c r="F104" s="8"/>
      <c r="G104" s="8"/>
      <c r="H104" s="8"/>
      <c r="I104" s="168"/>
    </row>
    <row r="105" spans="2:9" x14ac:dyDescent="0.25">
      <c r="B105" s="167"/>
      <c r="C105" s="8"/>
      <c r="D105" s="8"/>
      <c r="E105" s="8"/>
      <c r="F105" s="8"/>
      <c r="G105" s="8"/>
      <c r="H105" s="8"/>
      <c r="I105" s="168"/>
    </row>
    <row r="106" spans="2:9" x14ac:dyDescent="0.25">
      <c r="B106" s="167"/>
      <c r="C106" s="8"/>
      <c r="D106" s="8"/>
      <c r="E106" s="8"/>
      <c r="F106" s="8"/>
      <c r="G106" s="8"/>
      <c r="H106" s="8"/>
      <c r="I106" s="168"/>
    </row>
    <row r="107" spans="2:9" x14ac:dyDescent="0.25">
      <c r="B107" s="167"/>
      <c r="C107" s="8"/>
      <c r="D107" s="8"/>
      <c r="E107" s="8"/>
      <c r="F107" s="8"/>
      <c r="G107" s="8"/>
      <c r="H107" s="8"/>
      <c r="I107" s="168"/>
    </row>
    <row r="108" spans="2:9" x14ac:dyDescent="0.25">
      <c r="B108" s="167"/>
      <c r="C108" s="8"/>
      <c r="D108" s="8"/>
      <c r="E108" s="8"/>
      <c r="F108" s="8"/>
      <c r="G108" s="8"/>
      <c r="H108" s="8"/>
      <c r="I108" s="168"/>
    </row>
    <row r="109" spans="2:9" x14ac:dyDescent="0.25">
      <c r="B109" s="167"/>
      <c r="C109" s="8"/>
      <c r="D109" s="8"/>
      <c r="E109" s="8"/>
      <c r="F109" s="8"/>
      <c r="G109" s="8"/>
      <c r="H109" s="8"/>
      <c r="I109" s="168"/>
    </row>
    <row r="110" spans="2:9" x14ac:dyDescent="0.25">
      <c r="B110" s="167"/>
      <c r="C110" s="8"/>
      <c r="D110" s="8"/>
      <c r="E110" s="8"/>
      <c r="F110" s="8"/>
      <c r="G110" s="8"/>
      <c r="H110" s="8"/>
      <c r="I110" s="168"/>
    </row>
    <row r="111" spans="2:9" ht="15.75" thickBot="1" x14ac:dyDescent="0.3">
      <c r="B111" s="169"/>
      <c r="C111" s="170"/>
      <c r="D111" s="170"/>
      <c r="E111" s="170"/>
      <c r="F111" s="170"/>
      <c r="G111" s="170"/>
      <c r="H111" s="170"/>
      <c r="I111" s="171"/>
    </row>
    <row r="112" spans="2:9" ht="15.75" thickTop="1" x14ac:dyDescent="0.25"/>
  </sheetData>
  <mergeCells count="6">
    <mergeCell ref="Y36:Y37"/>
    <mergeCell ref="M41:M42"/>
    <mergeCell ref="B26:B29"/>
    <mergeCell ref="G36:G37"/>
    <mergeCell ref="M36:M37"/>
    <mergeCell ref="S36:S37"/>
  </mergeCells>
  <conditionalFormatting sqref="H82">
    <cfRule type="containsBlanks" dxfId="144" priority="2">
      <formula>LEN(TRIM(H82))=0</formula>
    </cfRule>
  </conditionalFormatting>
  <conditionalFormatting sqref="I82">
    <cfRule type="containsBlanks" dxfId="143" priority="3">
      <formula>LEN(TRIM(I82))=0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CP32"/>
  <sheetViews>
    <sheetView showGridLines="0" tabSelected="1" zoomScale="70" zoomScaleNormal="70" workbookViewId="0">
      <selection activeCell="CF25" sqref="CF25"/>
    </sheetView>
  </sheetViews>
  <sheetFormatPr defaultRowHeight="15" x14ac:dyDescent="0.25"/>
  <cols>
    <col min="1" max="1" width="14.140625" customWidth="1"/>
    <col min="2" max="2" width="12.5703125" customWidth="1"/>
    <col min="3" max="3" width="13" customWidth="1"/>
    <col min="4" max="4" width="19.140625" customWidth="1"/>
    <col min="5" max="5" width="12.7109375" customWidth="1"/>
    <col min="6" max="6" width="12.42578125" customWidth="1"/>
    <col min="7" max="7" width="12.85546875" customWidth="1"/>
    <col min="8" max="8" width="9.5703125" customWidth="1"/>
    <col min="9" max="9" width="5.140625" customWidth="1"/>
    <col min="10" max="10" width="5" customWidth="1"/>
    <col min="11" max="11" width="12.42578125" hidden="1" customWidth="1"/>
    <col min="12" max="13" width="7.5703125" hidden="1" customWidth="1"/>
    <col min="14" max="21" width="9.140625" hidden="1" customWidth="1"/>
    <col min="22" max="22" width="11.85546875" hidden="1" customWidth="1"/>
    <col min="23" max="23" width="12.140625" hidden="1" customWidth="1"/>
    <col min="24" max="24" width="9.7109375" hidden="1" customWidth="1"/>
    <col min="25" max="25" width="14.5703125" hidden="1" customWidth="1"/>
    <col min="26" max="26" width="11.7109375" hidden="1" customWidth="1"/>
    <col min="27" max="27" width="14.28515625" hidden="1" customWidth="1"/>
    <col min="28" max="28" width="10.42578125" hidden="1" customWidth="1"/>
    <col min="29" max="29" width="10.140625" hidden="1" customWidth="1"/>
    <col min="30" max="30" width="10" hidden="1" customWidth="1"/>
    <col min="31" max="31" width="10.5703125" hidden="1" customWidth="1"/>
    <col min="32" max="32" width="10.85546875" hidden="1" customWidth="1"/>
    <col min="33" max="33" width="9.7109375" style="27" hidden="1" customWidth="1"/>
    <col min="34" max="34" width="10.7109375" style="27" hidden="1" customWidth="1"/>
    <col min="35" max="35" width="14.5703125" style="27" hidden="1" customWidth="1"/>
    <col min="36" max="42" width="9.140625" style="63" hidden="1" customWidth="1"/>
    <col min="43" max="43" width="9.7109375" style="63" hidden="1" customWidth="1"/>
    <col min="44" max="44" width="10.42578125" style="63" hidden="1" customWidth="1"/>
    <col min="45" max="48" width="9.140625" style="63" hidden="1" customWidth="1"/>
    <col min="49" max="49" width="10.85546875" style="63" hidden="1" customWidth="1"/>
    <col min="50" max="50" width="12" style="63" hidden="1" customWidth="1"/>
    <col min="51" max="51" width="15.28515625" style="63" hidden="1" customWidth="1"/>
    <col min="52" max="52" width="9.140625" style="63" hidden="1" customWidth="1"/>
    <col min="53" max="53" width="14.5703125" style="63" hidden="1" customWidth="1"/>
    <col min="54" max="55" width="9.140625" style="63" hidden="1" customWidth="1"/>
    <col min="56" max="77" width="9.140625" hidden="1" customWidth="1"/>
    <col min="78" max="78" width="9.140625" customWidth="1"/>
    <col min="79" max="79" width="7.85546875" customWidth="1"/>
    <col min="80" max="80" width="7" style="27" customWidth="1"/>
    <col min="81" max="81" width="4.28515625" style="27" customWidth="1"/>
    <col min="82" max="82" width="6.85546875" style="27" customWidth="1"/>
    <col min="83" max="83" width="4.42578125" style="27" customWidth="1"/>
    <col min="84" max="84" width="11.5703125" customWidth="1"/>
    <col min="85" max="85" width="12.42578125" customWidth="1"/>
    <col min="89" max="89" width="9.7109375" customWidth="1"/>
    <col min="90" max="90" width="9.5703125" customWidth="1"/>
    <col min="91" max="91" width="8.42578125" customWidth="1"/>
    <col min="92" max="92" width="5.85546875" customWidth="1"/>
    <col min="93" max="94" width="4.42578125" customWidth="1"/>
  </cols>
  <sheetData>
    <row r="1" spans="1:94" x14ac:dyDescent="0.25">
      <c r="A1" t="s">
        <v>244</v>
      </c>
      <c r="E1" s="62"/>
      <c r="M1" s="114"/>
      <c r="N1" s="114" t="s">
        <v>80</v>
      </c>
      <c r="O1" s="114"/>
      <c r="P1" s="114">
        <v>1</v>
      </c>
      <c r="Q1" s="114">
        <f>ROW(Main[])+ROWS(Main[])-1</f>
        <v>20</v>
      </c>
      <c r="R1" s="114"/>
      <c r="S1" s="114" t="s">
        <v>66</v>
      </c>
      <c r="T1" s="114" t="str">
        <f>IF(NOT(ISBLANK($E$8)),$E$8,IF(NOT(ISBLANK($C$8)),$C$8,"Horizontal axis"))</f>
        <v>Month</v>
      </c>
      <c r="U1" s="114"/>
      <c r="V1" s="115" t="s">
        <v>243</v>
      </c>
      <c r="W1" s="115" t="s">
        <v>15</v>
      </c>
      <c r="X1" s="114"/>
      <c r="Y1" s="114" t="s">
        <v>60</v>
      </c>
      <c r="Z1" s="114"/>
      <c r="AA1" s="116" t="s">
        <v>62</v>
      </c>
      <c r="AB1" s="114"/>
      <c r="AC1" s="117" t="s">
        <v>16</v>
      </c>
      <c r="AD1" s="114">
        <f>IF(AND(M3=0,T8=2),1,0)</f>
        <v>0</v>
      </c>
      <c r="AE1" s="114"/>
      <c r="AF1" s="117" t="s">
        <v>22</v>
      </c>
      <c r="AG1" s="114">
        <f>IF(AND(M6=0,Q6=0,T8=1),1,0)</f>
        <v>0</v>
      </c>
      <c r="CK1" s="80"/>
    </row>
    <row r="2" spans="1:94" ht="9" customHeight="1" thickBot="1" x14ac:dyDescent="0.3">
      <c r="M2" s="117" t="s">
        <v>90</v>
      </c>
      <c r="N2" s="117" t="str">
        <f>CONCATENATE(IF(AA2=1,"My data not clear. Check intro data Scenario 1 or 2 should apply. ",""),IF(AA3=1,"For scenario 2 you need both Numerator and Denominator. Rate base applies only in particular cases,see examples in intro. ",""),IF(AA4=1,"Rate base may not apply; if does not apply delete YES under Rate base. If Rate base applies,plese specify value. See intro for example. ",""),IF(AND(SUM(AA2:AA5)=0,T10&lt;&gt;0),"Use column Missing to mark missing values. Remove empty rows for best results. ",""),IF(AND(SUM(AA2:AA5)=0,OR(AND(T8=2,OR(T5&gt;0,T9&lt;&gt;0)),AND(T8=1,OR(T6&gt;0,T7&gt;0,T5&lt;T4)))),"Check and complete your data,remove empty rows and data entered in wrong column. ",""))</f>
        <v/>
      </c>
      <c r="O2" s="117"/>
      <c r="P2" s="117"/>
      <c r="Q2" s="117"/>
      <c r="R2" s="117"/>
      <c r="S2" s="117" t="s">
        <v>72</v>
      </c>
      <c r="T2" s="117" t="str">
        <f>IF(NOT(ISBLANK($E$10)),$E$10,IF(NOT(ISBLANK($C$10)),$C$10,"Values"))</f>
        <v>Percentage</v>
      </c>
      <c r="U2" s="117"/>
      <c r="V2" s="117" t="s">
        <v>14</v>
      </c>
      <c r="W2" s="117">
        <v>1</v>
      </c>
      <c r="X2" s="117"/>
      <c r="Y2" s="117" t="s">
        <v>61</v>
      </c>
      <c r="Z2" s="114" t="str">
        <f>IF(AND($A$5="yes",OR($B$5="yes",$C$5="yes",$D$5="yes")),"Unclear data scenario","")</f>
        <v/>
      </c>
      <c r="AA2" s="116">
        <f>IF(Z2="",0,1)</f>
        <v>0</v>
      </c>
      <c r="AB2" s="114"/>
      <c r="AC2" s="117" t="s">
        <v>7</v>
      </c>
      <c r="AD2" s="114">
        <f>IF(AND(M4=0,T8=2),1,0)</f>
        <v>0</v>
      </c>
      <c r="AE2" s="114"/>
      <c r="AF2" s="117" t="s">
        <v>188</v>
      </c>
      <c r="AG2" s="114">
        <f>IF(AND(M6=0,Q6=1,T8=1),1,0)</f>
        <v>0</v>
      </c>
      <c r="CK2" s="81"/>
    </row>
    <row r="3" spans="1:94" ht="15" customHeight="1" thickTop="1" x14ac:dyDescent="0.25">
      <c r="A3" s="28" t="s">
        <v>42</v>
      </c>
      <c r="B3" s="29"/>
      <c r="C3" s="29"/>
      <c r="D3" s="29"/>
      <c r="E3" s="43"/>
      <c r="F3" s="46" t="s">
        <v>59</v>
      </c>
      <c r="G3" s="210"/>
      <c r="H3" s="211"/>
      <c r="I3" s="53"/>
      <c r="M3" s="117">
        <f>IF(AND(G3=N3,SUM(AA2:AA5)=0,NOT(AND(T8=2,OR(T3&lt;12,MAX(T6:T7)-T9&lt;12)))),0,IF(AND(G3=N3,SUM(AA2:AA5)=0),1,2))</f>
        <v>2</v>
      </c>
      <c r="N3" s="117" t="s">
        <v>16</v>
      </c>
      <c r="O3" s="117" t="str">
        <f>IF(AND(G3=N3,SUM(AA2:AA5)=0),CONCATENATE(IF(AND(T8=2,OR(T3&lt;12,MAX(T6:T7)-T9&lt;12)),"P Chart to be confirmed when sufficient rows are provided.",""),IF(T8=1,"Choose C Chart or I Chart for Scenario 1. See examples in Intro. P Chart cannot be used and is not applied.",""),IF(AND(T8=2,T3&gt;=12,MAX(T6:T7)-T9&gt;=12,N2&lt;&gt;""),"P Chart applied. Results can be affected if errors in data. Remove empty rows, qualify missing values.",""),IF(AND(T8=2,T3&gt;=12,MAX(T6:T7)-T9&gt;=12,N2=""),"P Chart applied. No checks for relation Numerator/Denominator provided here. Review Intro if in doubt.","")),"")</f>
        <v/>
      </c>
      <c r="P3" s="117"/>
      <c r="Q3" s="117"/>
      <c r="R3" s="117"/>
      <c r="S3" s="117" t="s">
        <v>77</v>
      </c>
      <c r="T3" s="117">
        <f>ROWS(Main[])</f>
        <v>2</v>
      </c>
      <c r="U3" s="117"/>
      <c r="V3" s="117" t="s">
        <v>81</v>
      </c>
      <c r="W3" s="117">
        <v>2</v>
      </c>
      <c r="X3" s="117"/>
      <c r="Y3" s="117" t="s">
        <v>63</v>
      </c>
      <c r="Z3" s="114" t="str">
        <f>IF(AND($A$5&lt;&gt;"yes",CONCATENATE($B$5,$C$5)&lt;&gt;"yesyes",OR($B$5="yes",$C$5="yes",$D$5="yes")),"Numerator or Denominator missing","")</f>
        <v/>
      </c>
      <c r="AA3" s="116">
        <f>IF(Z3="",0,1)</f>
        <v>0</v>
      </c>
      <c r="AB3" s="114"/>
      <c r="AC3" s="117" t="s">
        <v>17</v>
      </c>
      <c r="AD3" s="114">
        <f>IF(AND(M5=0,T8=2),1,0)</f>
        <v>0</v>
      </c>
      <c r="AE3" s="114"/>
      <c r="AF3" s="117" t="s">
        <v>86</v>
      </c>
      <c r="AG3" s="114">
        <f>IF(AND(M7=0,Q6=0,T8=1),1,0)</f>
        <v>0</v>
      </c>
      <c r="CK3" s="225"/>
    </row>
    <row r="4" spans="1:94" ht="28.5" customHeight="1" x14ac:dyDescent="0.25">
      <c r="A4" s="64" t="s">
        <v>6</v>
      </c>
      <c r="B4" s="65" t="s">
        <v>9</v>
      </c>
      <c r="C4" s="65" t="s">
        <v>10</v>
      </c>
      <c r="D4" s="66" t="s">
        <v>265</v>
      </c>
      <c r="E4" s="44" t="s">
        <v>281</v>
      </c>
      <c r="F4" s="191" t="str">
        <f>IF(AND(SUM(AA2:AA5)&gt;0,G3&lt;&gt;""),"Chart can be used after a valid My data option is provided. Check Intro.",CONCATENATE(O3,O4,O5,O6,O7,O8,O9,O10))</f>
        <v/>
      </c>
      <c r="G4" s="192"/>
      <c r="H4" s="192"/>
      <c r="I4" s="193"/>
      <c r="M4" s="117">
        <f>IF(AND(G3=N4,SUM(AA2:AA5)=0,NOT(AND(T8=2,OR(T3&lt;12,MAX(T6:T7)-T9&lt;12)))),0,IF(AND(G3=N4,SUM(AA2:AA5)=0),1,2))</f>
        <v>2</v>
      </c>
      <c r="N4" s="117" t="s">
        <v>7</v>
      </c>
      <c r="O4" s="117" t="str">
        <f>IF(AND(G3=N4,SUM(AA2:AA5)=0),CONCATENATE(IF(AND(T8=2,OR(T3&lt;12,MAX(T6:T7)-T9&lt;12)),"P Prime Chart to be confirmed when sufficient rows are provided. Min. 12 points; recommended at least 20 points.",""),IF(T8=1,"Choose C Chart or I Chart for Scenario 1. See examples in Intro. P Prime Chart cannot be used and is not applied.",""),IF(AND(T8=2,T3&gt;=12,MAX(T6:T7)-T9&gt;=12,N2&lt;&gt;""),"P Prime Chart applied. Results can be affected if errors in data. Remove empty rows, qualify missing values.",""),IF(AND(T8=2,T3&gt;=12,MAX(T6:T7)-T9&gt;=12,N2=""),"P Prime Chart applied. Min 12 points; recommended at least 20 points. No checks for relation Numerator/Denominator provided here. Review Intro if in doubt.","")),"")</f>
        <v/>
      </c>
      <c r="P4" s="117" t="s">
        <v>163</v>
      </c>
      <c r="Q4" s="117">
        <f>IF(OR(M3=0,M4=0,M5=0,M6=0,M7=0),1,0)</f>
        <v>0</v>
      </c>
      <c r="R4" s="117"/>
      <c r="S4" s="117" t="s">
        <v>73</v>
      </c>
      <c r="T4" s="117">
        <f>COUNTIF(Main[Xaxis],"&lt;&gt;")</f>
        <v>0</v>
      </c>
      <c r="U4" s="117"/>
      <c r="V4" s="117" t="s">
        <v>82</v>
      </c>
      <c r="W4" s="117">
        <v>3</v>
      </c>
      <c r="X4" s="117"/>
      <c r="Y4" s="117" t="s">
        <v>64</v>
      </c>
      <c r="Z4" s="114" t="str">
        <f>IF(AND($A$5&lt;&gt;"yes",$D$5="yes",OR(NOT(ISNUMBER($E$5)),$E$5=0)),"factor expected not defined","")</f>
        <v/>
      </c>
      <c r="AA4" s="116">
        <f>IF(Z4="",0,1)</f>
        <v>0</v>
      </c>
      <c r="AB4" s="114"/>
      <c r="AC4" s="117" t="s">
        <v>87</v>
      </c>
      <c r="AD4" s="114">
        <f>IF(AND(M8=0,T8=2),1,0)</f>
        <v>0</v>
      </c>
      <c r="AE4" s="114"/>
      <c r="AF4" s="117" t="s">
        <v>217</v>
      </c>
      <c r="AG4" s="114">
        <f>IF(AND(M7=0,Q6=1,T8),1,0)</f>
        <v>0</v>
      </c>
      <c r="CK4" s="225"/>
    </row>
    <row r="5" spans="1:94" ht="15.75" customHeight="1" thickBot="1" x14ac:dyDescent="0.3">
      <c r="A5" s="30"/>
      <c r="B5" s="31"/>
      <c r="C5" s="31"/>
      <c r="D5" s="32"/>
      <c r="E5" s="45">
        <v>10000</v>
      </c>
      <c r="F5" s="194"/>
      <c r="G5" s="195"/>
      <c r="H5" s="195"/>
      <c r="I5" s="196"/>
      <c r="M5" s="117">
        <f>IF(AND(G3=N5,SUM(AA2:AA5)=0,NOT(AND(T8=2,OR(T3&lt;12,MAX(T6:T7)-T9&lt;12)))),0,IF(AND(G3=N5,SUM(AA2:AA5)=0),1,2))</f>
        <v>2</v>
      </c>
      <c r="N5" s="117" t="s">
        <v>17</v>
      </c>
      <c r="O5" s="117" t="str">
        <f>IF(AND(G3=N5,SUM(AA2:AA5)=0),CONCATENATE(IF(AND(T8=2,OR(T3&lt;12,MAX(T6:T7)-T9&lt;12)),"U Chart to be confirmed when sufficient rows are provided.",""),IF(T8=1,"Choose C Chart or I Chart for Scenario 1. See examples in Intro. U Chart cannot be used and is not applied.",""),IF(AND(T8=2,T3&gt;=12,MAX(T6:T7)-T9&gt;=12,N2&lt;&gt;""),"U Chart applied. Results can be affected if errors in data. Remove empty rows, qualify missing values.",""),IF(AND(T8=2,T3&gt;=12,MAX(T6:T7)-T9&gt;=12,N2=""),"U Chart applied. No checks for relation Numerator/Denominator provided here. Review Intro if in doubt.","")),"")</f>
        <v/>
      </c>
      <c r="P5" s="117" t="s">
        <v>162</v>
      </c>
      <c r="Q5" s="117">
        <f>IF(OR(M8=0,M9=0,M10=0),1,0)</f>
        <v>0</v>
      </c>
      <c r="R5" s="117"/>
      <c r="S5" s="117" t="s">
        <v>51</v>
      </c>
      <c r="T5" s="117">
        <f>COUNTIF(Main[InputDP],"&lt;&gt;")</f>
        <v>0</v>
      </c>
      <c r="U5" s="117"/>
      <c r="V5" s="117" t="s">
        <v>83</v>
      </c>
      <c r="W5" s="117">
        <v>3</v>
      </c>
      <c r="X5" s="117"/>
      <c r="Y5" s="117" t="s">
        <v>67</v>
      </c>
      <c r="Z5" s="114" t="str">
        <f>IF(AND($A$5&lt;&gt;"yes",$B$5&lt;&gt;"yes",$C$5&lt;&gt;"yes",$D$5&lt;&gt;"yes"),"No info provided re data type","")</f>
        <v>No info provided re data type</v>
      </c>
      <c r="AA5" s="116">
        <f>IF(Z5="",0,1)</f>
        <v>1</v>
      </c>
      <c r="AB5" s="114"/>
      <c r="AC5" s="117" t="s">
        <v>88</v>
      </c>
      <c r="AD5" s="114">
        <f>IF(AND(M9=0,T8=2),1,0)</f>
        <v>0</v>
      </c>
      <c r="AE5" s="114"/>
      <c r="AF5" s="117" t="s">
        <v>241</v>
      </c>
      <c r="AG5" s="114">
        <f>AG1+AG3</f>
        <v>0</v>
      </c>
      <c r="CK5" s="224"/>
    </row>
    <row r="6" spans="1:94" ht="15.75" customHeight="1" thickTop="1" x14ac:dyDescent="0.25">
      <c r="A6" s="1" t="s">
        <v>65</v>
      </c>
      <c r="C6" s="218" t="s">
        <v>83</v>
      </c>
      <c r="D6" s="218"/>
      <c r="E6" s="218"/>
      <c r="F6" s="218"/>
      <c r="H6" s="197" t="str">
        <f>$N$2</f>
        <v/>
      </c>
      <c r="I6" s="197"/>
      <c r="J6" s="197"/>
      <c r="M6" s="117">
        <f>IF(AND(G3=N6,SUM(AA2:AA5)=0,NOT(AND(T8=1,OR(T3&lt;12,T5&lt;12)))),0,IF(AND(G3=N6,SUM(AA2:AA5)=0),1,2))</f>
        <v>2</v>
      </c>
      <c r="N6" s="117" t="s">
        <v>22</v>
      </c>
      <c r="O6" s="117" t="str">
        <f>IF(AND(G3=N6,SUM(AA2:AA5)=0),CONCATENATE(IF(AND(T8=1,OR(T3&lt;12,T5&lt;12)),"C Chart to be confirmed when sufficient rows are provided.",""),IF(T8=2,"Choose ANY CHART bar C Chart or I Chart for Scenario 2. See examples in Intro. C Chart cannot be used and is not applied.",""),IF(AND(T8=1,T3&gt;=12,T5&gt;=12,N2&lt;&gt;""),"C Chart applied. Results can be affected if errors in data. Remove empty rows, qualify missing values.",""),IF(AND(T8=1,T3&gt;=12,T5&gt;=12,N2=""),"C Chart applied. If not sure this is the graph you need, review Intro.","")),"")</f>
        <v/>
      </c>
      <c r="P6" s="117" t="s">
        <v>144</v>
      </c>
      <c r="Q6" s="117">
        <f>IF(OR(Q5=1,Q4=0),0,IF(Q7&gt;COUNTIFS(Main[DP],"&lt;&gt;",Main[Table row],"&lt;="&amp;Q7,Main[Recalc],""),0,IF(COUNTIF(A14,"*default*")=1,0,1)))</f>
        <v>0</v>
      </c>
      <c r="R6" s="117"/>
      <c r="S6" s="117" t="s">
        <v>74</v>
      </c>
      <c r="T6" s="117">
        <f>COUNTIF(Main[Numerator],"&lt;&gt;")</f>
        <v>0</v>
      </c>
      <c r="U6" s="117"/>
      <c r="V6" s="117" t="s">
        <v>85</v>
      </c>
      <c r="W6" s="117">
        <v>4</v>
      </c>
      <c r="X6" s="117"/>
      <c r="Y6" s="117"/>
      <c r="Z6" s="114"/>
      <c r="AA6" s="114"/>
      <c r="AB6" s="114"/>
      <c r="AC6" s="117" t="s">
        <v>89</v>
      </c>
      <c r="AD6" s="114">
        <f>IF(AND(M10=0,T8=2),1,0)</f>
        <v>0</v>
      </c>
      <c r="AE6" s="114"/>
      <c r="AF6" s="117" t="s">
        <v>242</v>
      </c>
      <c r="AG6" s="114">
        <f>AG2+AG4</f>
        <v>0</v>
      </c>
      <c r="CK6" s="224"/>
    </row>
    <row r="7" spans="1:94" ht="15.75" customHeight="1" thickBot="1" x14ac:dyDescent="0.3">
      <c r="A7" s="59" t="str">
        <f>CONCATENATE("Note: Calculations based on rounding to ",$W$9," decimal(s)")</f>
        <v>Note: Calculations based on rounding to 3 decimal(s)</v>
      </c>
      <c r="H7" s="197"/>
      <c r="I7" s="197"/>
      <c r="J7" s="197"/>
      <c r="M7" s="117">
        <f>IF(AND(G3=N7,SUM(AA2:AA5)=0,NOT(AND(T8=1,OR(T3&lt;20,T5&lt;20)))),0,IF(AND(G3=N7,SUM(AA2:AA5)=0),1,2))</f>
        <v>2</v>
      </c>
      <c r="N7" s="117" t="s">
        <v>86</v>
      </c>
      <c r="O7" s="117" t="str">
        <f>IF(AND(G3=N7,SUM(AA2:AA5)=0),CONCATENATE(IF(AND(T8=1,OR(T3&lt;20,T5&lt;20)),"I Chart to be confirmed when sufficient rows are provided.",""),IF(T8=2,"Choose ANY CHART bar C Chart or I Chart for Scenario 2. See examples in Intro. I Chart cannot be used and is not applied.",""),IF(AND(T8=1,T3&gt;=20,T5&gt;=20,N2&lt;&gt;""),"I Chart applied. Results can be affected if errors in data. Remove empty rows, qualify missing values.",""),IF(AND(T8=1,T3&gt;=20,T5&gt;=20,N2=""),"I Chart applied. If not sure this is the graph you need, review Intro.","")),"")</f>
        <v/>
      </c>
      <c r="P7" s="117" t="s">
        <v>145</v>
      </c>
      <c r="Q7" s="117">
        <f>MAX(Q8,D14)</f>
        <v>12</v>
      </c>
      <c r="R7" s="117"/>
      <c r="S7" s="117" t="s">
        <v>75</v>
      </c>
      <c r="T7" s="117">
        <f>COUNTIF(Main[Denominator base],"&lt;&gt;")</f>
        <v>0</v>
      </c>
      <c r="U7" s="117"/>
      <c r="V7" s="117" t="s">
        <v>84</v>
      </c>
      <c r="W7" s="117">
        <v>5</v>
      </c>
      <c r="X7" s="117"/>
      <c r="Y7" s="117"/>
      <c r="Z7" s="114"/>
      <c r="AA7" s="114"/>
      <c r="AB7" s="114"/>
      <c r="AC7" s="117" t="s">
        <v>240</v>
      </c>
      <c r="AD7" s="114">
        <f>SUM(AD1:AD6)</f>
        <v>0</v>
      </c>
      <c r="AE7" s="114"/>
      <c r="AF7" s="114"/>
      <c r="AG7" s="114"/>
      <c r="CK7" s="224"/>
    </row>
    <row r="8" spans="1:94" ht="11.25" customHeight="1" x14ac:dyDescent="0.25">
      <c r="A8" s="177" t="s">
        <v>184</v>
      </c>
      <c r="B8" s="178"/>
      <c r="C8" s="181" t="s">
        <v>8</v>
      </c>
      <c r="D8" s="182"/>
      <c r="E8" s="185"/>
      <c r="F8" s="186"/>
      <c r="G8" s="187"/>
      <c r="H8" s="197"/>
      <c r="I8" s="197"/>
      <c r="J8" s="197"/>
      <c r="M8" s="117">
        <f>IF(AND(G3=N8,SUM(AA2:AA5)=0,NOT(AND(T8=2,OR(T3&lt;12,MAX(T6:T7)-T9&lt;12)))),0,IF(AND(G3=N8,SUM(AA2:AA5)=0),1,2))</f>
        <v>2</v>
      </c>
      <c r="N8" s="117" t="s">
        <v>87</v>
      </c>
      <c r="O8" s="117" t="str">
        <f>IF(AND(G3=N8,SUM(AA2:AA5)=0),CONCATENATE(IF(AND(T8=2,OR(T3&lt;12,MAX(T6:T7)-T9&lt;12)),"P Funnel to be confirmed when sufficient rows are provided.",""),IF(T8=1,"Choose C Chart or I Chart for Scenario 1. See examples in Intro. P Funnel cannot be used and is not applied.",""),IF(AND(T8=2,T3&gt;=12,MAX(T6:T7)-T9&gt;=12,N2&lt;&gt;""),"P Funnel applied. Results can be affected if errors in data. Remove empty rows, qualify missing values.",""),IF(AND(T8=2,T3&gt;=12,MAX(T6:T7)-T9&gt;=12,N2=""),"P Funnel applied. Remember to sort by Denominator Small-&gt;Large. Review Intro if in doubt.","")),"")</f>
        <v/>
      </c>
      <c r="P8" s="117" t="s">
        <v>179</v>
      </c>
      <c r="Q8" s="117">
        <f>IF(M7=0,20,12)</f>
        <v>12</v>
      </c>
      <c r="R8" s="117"/>
      <c r="S8" s="117" t="s">
        <v>78</v>
      </c>
      <c r="T8" s="117" t="str">
        <f>IF(AND(SUM(AA2:AA5)=0,A5="yes"),1,IF(AND(SUM(AA2:AA5)=0,B5="yes"),2,""))</f>
        <v/>
      </c>
      <c r="U8" s="117"/>
      <c r="V8" s="117"/>
      <c r="W8" s="117"/>
      <c r="X8" s="117"/>
      <c r="Y8" s="117"/>
      <c r="Z8" s="114"/>
      <c r="AA8" s="114"/>
      <c r="AB8" s="114"/>
      <c r="AC8" s="114"/>
      <c r="AD8" s="114"/>
      <c r="AE8" s="114"/>
      <c r="AF8" s="114"/>
      <c r="AG8" s="114"/>
      <c r="CK8" s="81"/>
    </row>
    <row r="9" spans="1:94" ht="11.25" customHeight="1" thickBot="1" x14ac:dyDescent="0.3">
      <c r="A9" s="179"/>
      <c r="B9" s="180"/>
      <c r="C9" s="183"/>
      <c r="D9" s="184"/>
      <c r="E9" s="188"/>
      <c r="F9" s="189"/>
      <c r="G9" s="190"/>
      <c r="H9" s="197"/>
      <c r="I9" s="197"/>
      <c r="J9" s="197"/>
      <c r="M9" s="117">
        <f>IF(AND(G3=N9,SUM(AA2:AA5)=0,NOT(AND(T8=2,OR(T3&lt;12,MAX(T6:T7)-T9&lt;12)))),0,IF(AND(G3=N9,SUM(AA2:AA5)=0),1,2))</f>
        <v>2</v>
      </c>
      <c r="N9" s="117" t="s">
        <v>88</v>
      </c>
      <c r="O9" s="117" t="str">
        <f>IF(AND(G3=N9,SUM(AA2:AA5)=0),CONCATENATE(IF(AND(T8=2,OR(T3&lt;12,MAX(T6:T7)-T9&lt;12)),"P Prime Funnel to be confirmed when sufficient rows are provided.",""),IF(T8=1,"Choose C Chart or I Chart for Scenario 1. See examples in Intro. P Prime Funnel cannot be used and is not applied.",""),IF(AND(T8=2,T3&gt;=12,MAX(T6:T7)-T9&gt;=12,N2&lt;&gt;""),"P Prime Funnel applied. Results can be affected if errors in data. Remove empty rows, qualify missing values.",""),IF(AND(T8=2,T3&gt;=12,MAX(T6:T7)-T9&gt;=12,N2=""),"P Prime Funnel applied. Remember to sort by Denominator Small-&gt;Large. Review Intro if in doubt.","")),"")</f>
        <v/>
      </c>
      <c r="P9" s="117" t="s">
        <v>181</v>
      </c>
      <c r="Q9" s="117">
        <f>IF(AND(Q6=0,COUNTIF(A14,"Extend*")=1),0,1)</f>
        <v>1</v>
      </c>
      <c r="R9" s="117"/>
      <c r="S9" s="117" t="s">
        <v>79</v>
      </c>
      <c r="T9" s="117">
        <f>IF(T8=2,COUNTIFS(Main[Numerator],"&lt;&gt;",Main[Denominator base],"")+COUNTIFS(Main[Numerator],"",Main[Denominator base],"&lt;&gt;"),0)</f>
        <v>0</v>
      </c>
      <c r="U9" s="117"/>
      <c r="V9" s="117" t="s">
        <v>102</v>
      </c>
      <c r="W9" s="117">
        <f>SUMIF($V$1:$V$7,$C$6,$W$1:$W$7)</f>
        <v>3</v>
      </c>
      <c r="X9" s="117"/>
      <c r="Y9" s="117"/>
      <c r="Z9" s="114"/>
      <c r="AA9" s="114"/>
      <c r="AB9" s="114"/>
      <c r="AC9" s="114"/>
      <c r="AD9" s="114"/>
      <c r="AE9" s="114"/>
      <c r="AF9" s="114"/>
      <c r="AG9" s="114"/>
      <c r="CK9" s="81"/>
    </row>
    <row r="10" spans="1:94" ht="11.25" customHeight="1" thickTop="1" x14ac:dyDescent="0.25">
      <c r="A10" s="198" t="s">
        <v>185</v>
      </c>
      <c r="B10" s="199"/>
      <c r="C10" s="206" t="s">
        <v>55</v>
      </c>
      <c r="D10" s="207"/>
      <c r="E10" s="212"/>
      <c r="F10" s="213"/>
      <c r="G10" s="214"/>
      <c r="H10" s="197"/>
      <c r="I10" s="197"/>
      <c r="J10" s="197"/>
      <c r="M10" s="117">
        <f>IF(AND(G3=N10,SUM(AA2:AA5)=0,NOT(AND(T8=2,OR(T3&lt;12,MAX(T6:T7)-T9&lt;12)))),0,IF(AND(G3=N10,SUM(AA2:AA5)=0),1,2))</f>
        <v>2</v>
      </c>
      <c r="N10" s="117" t="s">
        <v>89</v>
      </c>
      <c r="O10" s="117" t="str">
        <f>IF(AND(G3=N10,SUM(AA2:AA5)=0),CONCATENATE(IF(AND(T8=2,OR(T3&lt;12,MAX(T6:T7)-T9&lt;12)),"U Funnel to be confirmed when sufficient rows are provided.",""),IF(T8=1,"Choose C Chart or I Chart for Scenario 1. See examples in Intro. U Funnel cannot be used and is not applied.",""),IF(AND(T8=2,T3&gt;=12,MAX(T6:T7)-T9&gt;=12,N2&lt;&gt;""),"U Funnel applied. Results can be affected if errors in data. Remove empty rows, qualify missing values.",""),IF(AND(T8=2,T3&gt;=12,MAX(T6:T7)-T9&gt;=12,N2=""),"U Funnel applied. Remember to sort by Denominator Small-&gt;Large. Review Intro if in doubt.","")),"")</f>
        <v/>
      </c>
      <c r="P10" s="114"/>
      <c r="Q10" s="114"/>
      <c r="R10" s="117"/>
      <c r="S10" s="117" t="s">
        <v>18</v>
      </c>
      <c r="T10" s="117" t="str">
        <f>IF(T8=1,COUNTIFS(Main[Xaxis],"&lt;&gt;",Main[InputDP],""),IF(T8=2,COUNTIFS(Main[Xaxis],"&lt;&gt;",Main[Numerator],"",Main[Denominator base],""),""))</f>
        <v/>
      </c>
      <c r="U10" s="117"/>
      <c r="V10" s="117"/>
      <c r="W10" s="117"/>
      <c r="X10" s="117"/>
      <c r="Y10" s="117"/>
      <c r="Z10" s="114"/>
      <c r="AA10" s="114"/>
      <c r="AB10" s="114"/>
      <c r="AC10" s="114"/>
      <c r="AD10" s="114"/>
      <c r="AE10" s="114"/>
      <c r="AF10" s="114"/>
      <c r="AG10" s="114"/>
      <c r="CK10" s="223"/>
    </row>
    <row r="11" spans="1:94" ht="11.25" customHeight="1" thickBot="1" x14ac:dyDescent="0.3">
      <c r="A11" s="198"/>
      <c r="B11" s="199"/>
      <c r="C11" s="183"/>
      <c r="D11" s="184"/>
      <c r="E11" s="215"/>
      <c r="F11" s="216"/>
      <c r="G11" s="217"/>
      <c r="H11" s="197"/>
      <c r="I11" s="197"/>
      <c r="J11" s="197"/>
      <c r="M11" s="117"/>
      <c r="N11" s="117"/>
      <c r="O11" s="117"/>
      <c r="P11" s="117"/>
      <c r="Q11" s="117"/>
      <c r="R11" s="117"/>
      <c r="S11" s="117" t="s">
        <v>130</v>
      </c>
      <c r="T11" s="117">
        <f>IF(AND(OR(T8=1,T8=2),G3&lt;&gt;"",SUM(M8:M10)=6,SUMIF(N3:N7,G3,M3:M7)=0,COUNTIF(E14,"*default*")=0),1,0)</f>
        <v>0</v>
      </c>
      <c r="U11" s="117"/>
      <c r="V11" s="117"/>
      <c r="W11" s="117"/>
      <c r="X11" s="117"/>
      <c r="Y11" s="117"/>
      <c r="Z11" s="114"/>
      <c r="AA11" s="114"/>
      <c r="AB11" s="114"/>
      <c r="AC11" s="114"/>
      <c r="AD11" s="114"/>
      <c r="AE11" s="114"/>
      <c r="AF11" s="114"/>
      <c r="AG11" s="114"/>
      <c r="CF11" s="113">
        <v>43831</v>
      </c>
      <c r="CK11" s="223"/>
    </row>
    <row r="12" spans="1:94" ht="11.25" customHeight="1" thickTop="1" x14ac:dyDescent="0.25">
      <c r="A12" s="198" t="s">
        <v>186</v>
      </c>
      <c r="B12" s="199"/>
      <c r="C12" s="202" t="s">
        <v>76</v>
      </c>
      <c r="D12" s="202"/>
      <c r="E12" s="202"/>
      <c r="F12" s="202"/>
      <c r="G12" s="203"/>
      <c r="H12" s="197"/>
      <c r="I12" s="197"/>
      <c r="J12" s="197"/>
      <c r="CB12" s="6" t="s">
        <v>245</v>
      </c>
      <c r="CF12" s="119">
        <v>43831</v>
      </c>
      <c r="CG12" s="87">
        <v>12</v>
      </c>
      <c r="CH12" s="88">
        <v>1000</v>
      </c>
      <c r="CI12" s="90">
        <v>0.03</v>
      </c>
    </row>
    <row r="13" spans="1:94" ht="11.25" customHeight="1" thickBot="1" x14ac:dyDescent="0.3">
      <c r="A13" s="200"/>
      <c r="B13" s="201"/>
      <c r="C13" s="204"/>
      <c r="D13" s="204"/>
      <c r="E13" s="204"/>
      <c r="F13" s="204"/>
      <c r="G13" s="205"/>
      <c r="H13" s="197"/>
      <c r="I13" s="197"/>
      <c r="J13" s="197"/>
      <c r="CF13" s="130">
        <v>43862</v>
      </c>
      <c r="CG13" s="86">
        <v>3.5</v>
      </c>
      <c r="CH13" s="93">
        <v>1000.5</v>
      </c>
      <c r="CI13" s="91">
        <v>0.03</v>
      </c>
    </row>
    <row r="14" spans="1:94" x14ac:dyDescent="0.25">
      <c r="A14" s="209" t="s">
        <v>180</v>
      </c>
      <c r="B14" s="209"/>
      <c r="C14" s="107" t="str">
        <f>IF(A14="Extend limits after min number",CONCATENATE("(min. ",Q8, " points)"),"")</f>
        <v/>
      </c>
      <c r="D14" s="108"/>
      <c r="E14" s="208" t="s">
        <v>129</v>
      </c>
      <c r="F14" s="208"/>
      <c r="G14" s="208"/>
      <c r="H14" s="197"/>
      <c r="I14" s="197"/>
      <c r="J14" s="197"/>
      <c r="O14" s="55" t="s">
        <v>218</v>
      </c>
      <c r="P14" s="55"/>
      <c r="Q14" s="55"/>
      <c r="R14" s="55"/>
      <c r="S14" s="55"/>
      <c r="T14" s="55"/>
      <c r="U14" s="55"/>
      <c r="V14" s="55"/>
      <c r="W14" s="55"/>
      <c r="X14" s="55"/>
      <c r="Y14" s="55"/>
      <c r="Z14" s="55"/>
      <c r="AA14" s="55"/>
      <c r="AB14" s="55"/>
      <c r="AC14" s="55"/>
      <c r="AD14" s="55"/>
      <c r="AE14" s="55"/>
      <c r="AF14" s="55"/>
      <c r="AG14" s="55"/>
      <c r="AH14" s="55"/>
      <c r="AI14" s="55"/>
      <c r="AJ14" s="55"/>
      <c r="AK14" s="55"/>
      <c r="AL14" s="55"/>
      <c r="AM14" s="100" t="s">
        <v>239</v>
      </c>
      <c r="AN14" s="100"/>
      <c r="AO14" s="100"/>
      <c r="AP14" s="100"/>
      <c r="AQ14" s="100"/>
      <c r="AR14" s="100"/>
      <c r="AS14" s="100"/>
      <c r="AT14" s="100"/>
      <c r="AU14" s="100"/>
      <c r="AV14" s="100"/>
      <c r="AW14" s="100"/>
      <c r="AX14" s="100"/>
      <c r="AY14" s="100"/>
      <c r="AZ14" s="100"/>
      <c r="BA14" s="100"/>
      <c r="BB14" s="100"/>
      <c r="BC14" s="100"/>
      <c r="CD14" s="121" t="e">
        <f>NA()</f>
        <v>#N/A</v>
      </c>
      <c r="CF14" s="118">
        <v>43863</v>
      </c>
      <c r="CG14" s="89">
        <v>37.549999999999997</v>
      </c>
      <c r="CH14" s="94">
        <v>1000.55</v>
      </c>
      <c r="CI14" s="92">
        <v>3.5000000000000003E-2</v>
      </c>
      <c r="CK14" s="83"/>
    </row>
    <row r="15" spans="1:94" s="27" customFormat="1" ht="15.75" thickBot="1" x14ac:dyDescent="0.3">
      <c r="A15" s="52" t="str">
        <f>IF(OR(AND(SUM(AA2:AA5)=0,A5="yes",OR(T6&gt;0,T7&gt;0)),AND(SUM(AA2:AA5)=0,B5="yes",T5&gt;0)),"*Please enter values ONLY under GREEN headings.","")</f>
        <v/>
      </c>
      <c r="B15" s="47"/>
      <c r="C15" s="48"/>
      <c r="D15" s="61"/>
      <c r="E15" s="73"/>
      <c r="F15" s="73"/>
      <c r="G15" s="73"/>
      <c r="H15" s="197"/>
      <c r="I15" s="197"/>
      <c r="J15" s="197"/>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100"/>
      <c r="AN15" s="100"/>
      <c r="AO15" s="100"/>
      <c r="AP15" s="100"/>
      <c r="AQ15" s="100"/>
      <c r="AR15" s="100"/>
      <c r="AS15" s="100"/>
      <c r="AT15" s="100"/>
      <c r="AU15" s="100"/>
      <c r="AV15" s="100"/>
      <c r="AW15" s="100"/>
      <c r="AX15" s="100"/>
      <c r="AY15" s="100"/>
      <c r="AZ15" s="100"/>
      <c r="BA15" s="100"/>
      <c r="BB15" s="100"/>
      <c r="BC15" s="100"/>
      <c r="CK15" s="84" t="s">
        <v>189</v>
      </c>
    </row>
    <row r="16" spans="1:94" ht="15" customHeight="1" thickTop="1" x14ac:dyDescent="0.25">
      <c r="A16" s="219" t="s">
        <v>68</v>
      </c>
      <c r="B16" s="219"/>
      <c r="C16" s="219"/>
      <c r="D16" s="219"/>
      <c r="E16" s="220" t="s">
        <v>69</v>
      </c>
      <c r="F16" s="220"/>
      <c r="G16" s="221" t="s">
        <v>70</v>
      </c>
      <c r="H16" s="221"/>
      <c r="I16" s="49" t="s">
        <v>71</v>
      </c>
      <c r="J16" s="49"/>
      <c r="K16" s="176" t="s">
        <v>92</v>
      </c>
      <c r="L16" s="176"/>
      <c r="M16" s="176"/>
      <c r="N16" s="176"/>
      <c r="O16" s="112"/>
      <c r="P16" s="112"/>
      <c r="Q16" s="56" t="s">
        <v>22</v>
      </c>
      <c r="R16" s="57"/>
      <c r="S16" s="57"/>
      <c r="T16" s="57"/>
      <c r="U16" s="57"/>
      <c r="V16" s="58"/>
      <c r="W16" s="97" t="s">
        <v>86</v>
      </c>
      <c r="X16" s="98"/>
      <c r="Y16" s="98"/>
      <c r="Z16" s="98"/>
      <c r="AA16" s="98"/>
      <c r="AB16" s="98"/>
      <c r="AC16" s="98"/>
      <c r="AD16" s="98"/>
      <c r="AE16" s="98"/>
      <c r="AF16" s="98"/>
      <c r="AG16" s="98"/>
      <c r="AH16" s="98"/>
      <c r="AI16" s="98"/>
      <c r="AJ16" s="98"/>
      <c r="AK16" s="98"/>
      <c r="AL16" s="99"/>
      <c r="AM16" s="109"/>
      <c r="AN16" s="104" t="s">
        <v>17</v>
      </c>
      <c r="AO16" s="105"/>
      <c r="AP16" s="106"/>
      <c r="AQ16" s="104" t="s">
        <v>16</v>
      </c>
      <c r="AR16" s="105"/>
      <c r="AS16" s="106"/>
      <c r="AT16" s="104" t="s">
        <v>7</v>
      </c>
      <c r="AU16" s="105"/>
      <c r="AV16" s="105"/>
      <c r="AW16" s="105"/>
      <c r="AX16" s="105"/>
      <c r="AY16" s="105"/>
      <c r="AZ16" s="105"/>
      <c r="BA16" s="105"/>
      <c r="BB16" s="105"/>
      <c r="BC16" s="106"/>
      <c r="BZ16" s="141" t="s">
        <v>187</v>
      </c>
      <c r="CA16" s="142"/>
      <c r="CB16" s="140"/>
      <c r="CC16" s="140"/>
      <c r="CD16" s="140"/>
      <c r="CE16" s="140"/>
      <c r="CF16" s="102"/>
      <c r="CG16" s="102"/>
      <c r="CH16" s="102"/>
      <c r="CI16" s="70" t="s">
        <v>267</v>
      </c>
      <c r="CJ16" s="102"/>
      <c r="CK16" s="136">
        <v>2</v>
      </c>
      <c r="CL16" s="70" t="s">
        <v>267</v>
      </c>
      <c r="CM16" s="70" t="s">
        <v>267</v>
      </c>
      <c r="CN16" s="103"/>
      <c r="CO16" s="103"/>
      <c r="CP16" s="103"/>
    </row>
    <row r="17" spans="1:94" x14ac:dyDescent="0.25">
      <c r="A17" s="26" t="str">
        <f>$T$1</f>
        <v>Month</v>
      </c>
      <c r="B17" t="str">
        <f>IF(AND(SUM(AA2:AA5)=0,A5="yes"),"Data Points","")</f>
        <v/>
      </c>
      <c r="C17" t="str">
        <f>IF(AND(SUM(AA2:AA5)=0,B5="yes"),"Numerator","")</f>
        <v/>
      </c>
      <c r="D17" t="str">
        <f>IF(AND(SUM(AA2:AA5)=0,C5="yes"),"Denominator","")</f>
        <v/>
      </c>
      <c r="E17" s="139" t="s">
        <v>266</v>
      </c>
      <c r="F17" s="128" t="s">
        <v>246</v>
      </c>
      <c r="G17" t="s">
        <v>57</v>
      </c>
      <c r="H17" t="s">
        <v>56</v>
      </c>
      <c r="I17" t="s">
        <v>192</v>
      </c>
      <c r="K17" s="176"/>
      <c r="L17" s="176"/>
      <c r="M17" s="176"/>
      <c r="N17" s="176"/>
      <c r="O17" s="34" t="s">
        <v>93</v>
      </c>
      <c r="P17" s="33" t="s">
        <v>149</v>
      </c>
      <c r="Q17" s="34" t="s">
        <v>21</v>
      </c>
      <c r="R17" s="34" t="s">
        <v>2</v>
      </c>
      <c r="S17" s="34" t="s">
        <v>1</v>
      </c>
      <c r="T17" s="33" t="s">
        <v>101</v>
      </c>
      <c r="U17" s="33" t="s">
        <v>150</v>
      </c>
      <c r="V17" s="33" t="s">
        <v>151</v>
      </c>
      <c r="W17" s="34" t="s">
        <v>191</v>
      </c>
      <c r="X17" s="34" t="s">
        <v>193</v>
      </c>
      <c r="Y17" s="34" t="s">
        <v>195</v>
      </c>
      <c r="Z17" s="34" t="s">
        <v>198</v>
      </c>
      <c r="AA17" s="34" t="s">
        <v>199</v>
      </c>
      <c r="AB17" s="34" t="s">
        <v>21</v>
      </c>
      <c r="AC17" s="34" t="s">
        <v>2</v>
      </c>
      <c r="AD17" s="34" t="s">
        <v>1</v>
      </c>
      <c r="AE17" s="96" t="s">
        <v>204</v>
      </c>
      <c r="AF17" s="96" t="s">
        <v>205</v>
      </c>
      <c r="AG17" s="96" t="s">
        <v>206</v>
      </c>
      <c r="AH17" s="96" t="s">
        <v>207</v>
      </c>
      <c r="AI17" s="96" t="s">
        <v>208</v>
      </c>
      <c r="AJ17" s="96" t="s">
        <v>101</v>
      </c>
      <c r="AK17" s="33" t="s">
        <v>150</v>
      </c>
      <c r="AL17" s="33" t="s">
        <v>151</v>
      </c>
      <c r="AM17" s="34" t="s">
        <v>220</v>
      </c>
      <c r="AN17" s="34" t="s">
        <v>21</v>
      </c>
      <c r="AO17" s="34" t="s">
        <v>2</v>
      </c>
      <c r="AP17" s="34" t="s">
        <v>1</v>
      </c>
      <c r="AQ17" s="111" t="s">
        <v>21</v>
      </c>
      <c r="AR17" s="34" t="s">
        <v>2</v>
      </c>
      <c r="AS17" s="34" t="s">
        <v>1</v>
      </c>
      <c r="AT17" s="34" t="s">
        <v>11</v>
      </c>
      <c r="AU17" s="34" t="s">
        <v>228</v>
      </c>
      <c r="AV17" s="34" t="s">
        <v>230</v>
      </c>
      <c r="AW17" s="34" t="s">
        <v>195</v>
      </c>
      <c r="AX17" s="34" t="s">
        <v>198</v>
      </c>
      <c r="AY17" s="34" t="s">
        <v>199</v>
      </c>
      <c r="AZ17" s="34" t="s">
        <v>12</v>
      </c>
      <c r="BA17" s="34" t="s">
        <v>236</v>
      </c>
      <c r="BB17" s="34" t="s">
        <v>2</v>
      </c>
      <c r="BC17" s="34" t="s">
        <v>1</v>
      </c>
      <c r="BD17" s="60" t="s">
        <v>0</v>
      </c>
      <c r="BE17" s="60" t="s">
        <v>101</v>
      </c>
      <c r="BF17" s="60" t="s">
        <v>2</v>
      </c>
      <c r="BG17" s="60" t="s">
        <v>1</v>
      </c>
      <c r="BH17" s="60" t="s">
        <v>109</v>
      </c>
      <c r="BI17" s="60" t="s">
        <v>110</v>
      </c>
      <c r="BJ17" s="60" t="s">
        <v>113</v>
      </c>
      <c r="BK17" s="60" t="s">
        <v>114</v>
      </c>
      <c r="BL17" s="60" t="s">
        <v>116</v>
      </c>
      <c r="BM17" s="60" t="s">
        <v>118</v>
      </c>
      <c r="BN17" s="60" t="s">
        <v>121</v>
      </c>
      <c r="BO17" s="60" t="s">
        <v>122</v>
      </c>
      <c r="BP17" s="60" t="s">
        <v>123</v>
      </c>
      <c r="BQ17" s="60" t="s">
        <v>127</v>
      </c>
      <c r="BR17" s="60" t="s">
        <v>128</v>
      </c>
      <c r="BS17" s="60" t="s">
        <v>132</v>
      </c>
      <c r="BT17" s="60" t="s">
        <v>137</v>
      </c>
      <c r="BU17" s="60" t="s">
        <v>138</v>
      </c>
      <c r="BV17" s="60" t="s">
        <v>139</v>
      </c>
      <c r="BW17" s="60" t="s">
        <v>140</v>
      </c>
      <c r="BX17" s="60" t="s">
        <v>141</v>
      </c>
      <c r="BY17" s="60" t="s">
        <v>143</v>
      </c>
      <c r="BZ17" s="69" t="s">
        <v>157</v>
      </c>
      <c r="CA17" s="69" t="s">
        <v>155</v>
      </c>
      <c r="CB17" s="75" t="s">
        <v>170</v>
      </c>
      <c r="CC17" s="76" t="s">
        <v>172</v>
      </c>
      <c r="CD17" s="77" t="s">
        <v>173</v>
      </c>
      <c r="CE17" s="76" t="s">
        <v>175</v>
      </c>
      <c r="CF17" s="70" t="s">
        <v>159</v>
      </c>
      <c r="CG17" s="70" t="s">
        <v>161</v>
      </c>
      <c r="CH17" s="71" t="s">
        <v>164</v>
      </c>
      <c r="CI17" s="71" t="s">
        <v>2</v>
      </c>
      <c r="CJ17" s="71" t="s">
        <v>1</v>
      </c>
      <c r="CK17" s="71" t="s">
        <v>168</v>
      </c>
      <c r="CL17" s="226" t="s">
        <v>178</v>
      </c>
      <c r="CM17" s="226"/>
      <c r="CN17" s="78"/>
      <c r="CO17" s="222" t="s">
        <v>249</v>
      </c>
      <c r="CP17" s="222"/>
    </row>
    <row r="18" spans="1:94" ht="18.75" customHeight="1" x14ac:dyDescent="0.25">
      <c r="A18" s="125" t="s">
        <v>40</v>
      </c>
      <c r="B18" s="125" t="s">
        <v>51</v>
      </c>
      <c r="C18" s="125" t="s">
        <v>9</v>
      </c>
      <c r="D18" s="125" t="s">
        <v>20</v>
      </c>
      <c r="E18" s="125" t="s">
        <v>52</v>
      </c>
      <c r="F18" s="125" t="s">
        <v>53</v>
      </c>
      <c r="G18" s="125" t="s">
        <v>13</v>
      </c>
      <c r="H18" s="125" t="s">
        <v>19</v>
      </c>
      <c r="I18" s="125" t="s">
        <v>136</v>
      </c>
      <c r="J18" s="125" t="s">
        <v>58</v>
      </c>
      <c r="K18" s="125" t="s">
        <v>10</v>
      </c>
      <c r="L18" s="125" t="s">
        <v>54</v>
      </c>
      <c r="M18" s="125" t="s">
        <v>147</v>
      </c>
      <c r="N18" s="125" t="s">
        <v>146</v>
      </c>
      <c r="O18" s="125" t="s">
        <v>91</v>
      </c>
      <c r="P18" s="125" t="s">
        <v>148</v>
      </c>
      <c r="Q18" s="125" t="s">
        <v>94</v>
      </c>
      <c r="R18" s="125" t="s">
        <v>96</v>
      </c>
      <c r="S18" s="125" t="s">
        <v>95</v>
      </c>
      <c r="T18" s="125" t="s">
        <v>152</v>
      </c>
      <c r="U18" s="125" t="s">
        <v>153</v>
      </c>
      <c r="V18" s="125" t="s">
        <v>154</v>
      </c>
      <c r="W18" s="125" t="s">
        <v>190</v>
      </c>
      <c r="X18" s="125" t="s">
        <v>194</v>
      </c>
      <c r="Y18" s="125" t="s">
        <v>196</v>
      </c>
      <c r="Z18" s="125" t="s">
        <v>197</v>
      </c>
      <c r="AA18" s="125" t="s">
        <v>200</v>
      </c>
      <c r="AB18" s="125" t="s">
        <v>201</v>
      </c>
      <c r="AC18" s="125" t="s">
        <v>202</v>
      </c>
      <c r="AD18" s="125" t="s">
        <v>203</v>
      </c>
      <c r="AE18" s="125" t="s">
        <v>209</v>
      </c>
      <c r="AF18" s="125" t="s">
        <v>210</v>
      </c>
      <c r="AG18" s="125" t="s">
        <v>211</v>
      </c>
      <c r="AH18" s="125" t="s">
        <v>212</v>
      </c>
      <c r="AI18" s="125" t="s">
        <v>213</v>
      </c>
      <c r="AJ18" s="125" t="s">
        <v>214</v>
      </c>
      <c r="AK18" s="125" t="s">
        <v>215</v>
      </c>
      <c r="AL18" s="125" t="s">
        <v>216</v>
      </c>
      <c r="AM18" s="125" t="s">
        <v>219</v>
      </c>
      <c r="AN18" s="125" t="s">
        <v>221</v>
      </c>
      <c r="AO18" s="125" t="s">
        <v>222</v>
      </c>
      <c r="AP18" s="125" t="s">
        <v>223</v>
      </c>
      <c r="AQ18" s="125" t="s">
        <v>224</v>
      </c>
      <c r="AR18" s="125" t="s">
        <v>225</v>
      </c>
      <c r="AS18" s="125" t="s">
        <v>226</v>
      </c>
      <c r="AT18" s="125" t="s">
        <v>11</v>
      </c>
      <c r="AU18" s="125" t="s">
        <v>227</v>
      </c>
      <c r="AV18" s="125" t="s">
        <v>229</v>
      </c>
      <c r="AW18" s="125" t="s">
        <v>231</v>
      </c>
      <c r="AX18" s="125" t="s">
        <v>232</v>
      </c>
      <c r="AY18" s="125" t="s">
        <v>233</v>
      </c>
      <c r="AZ18" s="125" t="s">
        <v>235</v>
      </c>
      <c r="BA18" s="125" t="s">
        <v>234</v>
      </c>
      <c r="BB18" s="125" t="s">
        <v>237</v>
      </c>
      <c r="BC18" s="125" t="s">
        <v>238</v>
      </c>
      <c r="BD18" s="125" t="s">
        <v>97</v>
      </c>
      <c r="BE18" s="125" t="s">
        <v>98</v>
      </c>
      <c r="BF18" s="125" t="s">
        <v>99</v>
      </c>
      <c r="BG18" s="125" t="s">
        <v>100</v>
      </c>
      <c r="BH18" s="125" t="s">
        <v>103</v>
      </c>
      <c r="BI18" s="125" t="s">
        <v>111</v>
      </c>
      <c r="BJ18" s="125" t="s">
        <v>112</v>
      </c>
      <c r="BK18" s="125" t="s">
        <v>115</v>
      </c>
      <c r="BL18" s="125" t="s">
        <v>23</v>
      </c>
      <c r="BM18" s="126" t="s">
        <v>117</v>
      </c>
      <c r="BN18" s="126" t="s">
        <v>119</v>
      </c>
      <c r="BO18" s="126" t="s">
        <v>120</v>
      </c>
      <c r="BP18" s="126" t="s">
        <v>124</v>
      </c>
      <c r="BQ18" s="126" t="s">
        <v>125</v>
      </c>
      <c r="BR18" s="126" t="s">
        <v>126</v>
      </c>
      <c r="BS18" s="125" t="s">
        <v>131</v>
      </c>
      <c r="BT18" s="125" t="s">
        <v>133</v>
      </c>
      <c r="BU18" s="125" t="s">
        <v>135</v>
      </c>
      <c r="BV18" s="127" t="s">
        <v>134</v>
      </c>
      <c r="BW18" s="125" t="s">
        <v>3</v>
      </c>
      <c r="BX18" s="125" t="s">
        <v>142</v>
      </c>
      <c r="BY18" s="125" t="s">
        <v>4</v>
      </c>
      <c r="BZ18" s="125" t="s">
        <v>156</v>
      </c>
      <c r="CA18" s="125" t="s">
        <v>5</v>
      </c>
      <c r="CB18" s="125" t="s">
        <v>169</v>
      </c>
      <c r="CC18" s="125" t="s">
        <v>171</v>
      </c>
      <c r="CD18" s="125" t="s">
        <v>174</v>
      </c>
      <c r="CE18" s="125" t="s">
        <v>176</v>
      </c>
      <c r="CF18" s="125" t="s">
        <v>158</v>
      </c>
      <c r="CG18" s="125" t="s">
        <v>160</v>
      </c>
      <c r="CH18" s="125" t="s">
        <v>165</v>
      </c>
      <c r="CI18" s="125" t="s">
        <v>166</v>
      </c>
      <c r="CJ18" s="125" t="s">
        <v>167</v>
      </c>
      <c r="CK18" s="125" t="s">
        <v>183</v>
      </c>
      <c r="CL18" s="124" t="s">
        <v>168</v>
      </c>
      <c r="CM18" s="124" t="s">
        <v>177</v>
      </c>
      <c r="CN18" t="s">
        <v>182</v>
      </c>
      <c r="CO18" s="125" t="s">
        <v>247</v>
      </c>
      <c r="CP18" s="125" t="s">
        <v>248</v>
      </c>
    </row>
    <row r="19" spans="1:94" x14ac:dyDescent="0.25">
      <c r="A19" s="4"/>
      <c r="B19" s="137"/>
      <c r="C19" s="101"/>
      <c r="D19" s="3"/>
      <c r="E19" s="50" t="str">
        <f t="shared" ref="E19" si="0">IF(AND(SUM($AA$2:$AA$5)=0,$D$5="yes"),$E$5,"")</f>
        <v/>
      </c>
      <c r="F19" s="51" t="str">
        <f>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f>
        <v/>
      </c>
      <c r="G19" s="54"/>
      <c r="H19" s="54"/>
      <c r="I19" s="67" t="str">
        <f ca="1">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f>
        <v>R1</v>
      </c>
      <c r="J19" s="67" t="str">
        <f ca="1">IF(ROW(Main[])=ROW(),"R1",IF(OR(OR(Main[[#This Row],[Recalc]]="Recalc",Main[[#This Row],[missingv]]="missing"),AND(Main[[#This Row],[Recalc]]="",Main[[#This Row],[missingv]]="",OFFSET(Main[[#This Row],[missingv]],-1,0)="missing")),CONCATENATE("R",RIGHT(OFFSET(Main[[#This Row],[Range]],-1,0),LEN(OFFSET(Main[[#This Row],[Range]],-1,0))-1)+1),OFFSET(Main[[#This Row],[Range]],-1,0)))</f>
        <v>R1</v>
      </c>
      <c r="K19" t="str">
        <f>IF(AND($T$8=2,$D$5&lt;&gt;"yes"),Main[[#This Row],[Denominator base]],IF(AND($T$8=2,$D$5="yes"),Main[[#This Row],[Denominator base]]/Main[[#This Row],[Factor]],""))</f>
        <v/>
      </c>
      <c r="L19" t="str">
        <f>IF($T$8=1,IF(ISBLANK(Main[[#This Row],[InputDP]]),"",Main[[#This Row],[InputDP]]),IF($T$8=2,Main[[#This Row],[CalcDP]],""))</f>
        <v/>
      </c>
      <c r="M19" s="27">
        <f>ROW()-ROW(Main[])+1</f>
        <v>1</v>
      </c>
      <c r="N19" s="27" t="str">
        <f>IF($Q$6&lt;&gt;1,"",IF(AND($Q$6=1,Main[[#This Row],[Table row]]&lt;=$Q$7),"initial","extend"))</f>
        <v/>
      </c>
      <c r="O19" t="str">
        <f>IF($AG$5=1,IF(Main[[#This Row],[missingv]]="missing","",AVERAGEIFS(Main[DP],Main[Range for limits],Main[[#This Row],[Range for limits]],Main[missingv],"&lt;&gt;missing")),"")</f>
        <v/>
      </c>
      <c r="P19" s="27" t="str">
        <f>IF(OR($Q$6&lt;&gt;1,$T$8&lt;&gt;1),"",IF(Main[[#This Row],[Ext range]]="initial",IF(Main[[#This Row],[missingv]]="missing","",AVERAGEIFS(Main[DP],Main[Range for limits],Main[[#This Row],[Range for limits]],Main[missingv],"&lt;&gt;missing",Main[Ext range],"initial")),SUMIF(Main[Table row],1,Main[Ext Mean1])))</f>
        <v/>
      </c>
      <c r="Q19" s="2" t="str">
        <f>IF($AG$1=1,IF(Main[[#This Row],[missingv]]="missing","",SQRT(Main[[#This Row],[Mean1]])),"")</f>
        <v/>
      </c>
      <c r="R19" s="2" t="str">
        <f>IF($AG$1=1,IF(Main[[#This Row],[missingv]]="missing","",Main[[#This Row],[Mean1]]-3*Main[[#This Row],[Sigma Cchart]]),"")</f>
        <v/>
      </c>
      <c r="S19" s="2" t="str">
        <f>IF($AG$1=1,IF(Main[[#This Row],[missingv]]="missing","",Main[[#This Row],[Mean1]]+3*Main[[#This Row],[Sigma Cchart]]),"")</f>
        <v/>
      </c>
      <c r="T19" s="2" t="str">
        <f>IF($AG$2=1,IF(Main[[#This Row],[missingv]]="missing","",SQRT(Main[[#This Row],[Ext Mean1]])),"")</f>
        <v/>
      </c>
      <c r="U19" s="2" t="str">
        <f>IF($AG$2=1,IF(Main[[#This Row],[missingv]]="missing","",Main[[#This Row],[Ext Mean1]]-3*Main[[#This Row],[Sigma Cc for ext]]),"")</f>
        <v/>
      </c>
      <c r="V19" s="2" t="str">
        <f>IF($AG$2=1,IF(Main[[#This Row],[missingv]]="missing","",Main[[#This Row],[Ext Mean1]]+3*Main[[#This Row],[Sigma Cc for ext]]),"")</f>
        <v/>
      </c>
      <c r="W19" s="2" t="str">
        <f ca="1">IF($AG$3=1,IF(OR(Main[[#This Row],[DP]]="",Main[[#This Row],[Recalc]]="Recalc",Main[[#This Row],[missingv]]="missing",OFFSET(Main[[#This Row],[missingv]],-1,0)="missing",ROW(Main[])=ROW()),"",ABS(Main[[#This Row],[DP]]-OFFSET(Main[[#This Row],[DP]],-1,0))),"")</f>
        <v/>
      </c>
      <c r="X19" s="2" t="str">
        <f>IF($AG$3=1,IF(OR(Main[[#This Row],[DP]]="",Main[[#This Row],[missingv]]="missing"),"",AVERAGEIF(Main[Range for limits],Main[[#This Row],[Range for limits]],Main[Moving range Ichart])),"")</f>
        <v/>
      </c>
      <c r="Y19" s="2" t="str">
        <f>IF($AG$3=1,IF(Main[[#This Row],[missingv]]="missing","",Main[[#This Row],[Average of MR Ichart]]*3.27),"")</f>
        <v/>
      </c>
      <c r="Z19" s="2" t="str">
        <f>IF(OR(Main[[#This Row],[DP]]="",Main[[#This Row],[Recalc]]="Recalc",Main[[#This Row],[missingv]]="missing",ROW(Main[])=ROW()),"",IF(Main[[#This Row],[Moving range Ichart]]&gt;Main[[#This Row],[Upper limit of MR Ic]],"",Main[[#This Row],[Moving range Ichart]]))</f>
        <v/>
      </c>
      <c r="AA19" s="2" t="str">
        <f>IF($AG$3=1,IF(OR(Main[[#This Row],[DP]]="",Main[[#This Row],[missingv]]="missing"),"",AVERAGEIF(Main[Range for limits],Main[[#This Row],[Range for limits]],Main[Revised MR Ic])),"")</f>
        <v/>
      </c>
      <c r="AB19" s="2" t="str">
        <f>IF($AG$3=1,IF(Main[[#This Row],[missingv]]="missing","",Main[[#This Row],[Revised Avg MR Ic]]*2.66/3),"")</f>
        <v/>
      </c>
      <c r="AC19" s="2" t="str">
        <f>IF($AG$3=1,IF(Main[[#This Row],[missingv]]="missing","",Main[[#This Row],[Mean1]]-2.66*Main[[#This Row],[Revised Avg MR Ic]]),"")</f>
        <v/>
      </c>
      <c r="AD19" s="2" t="str">
        <f>IF($AG$3=1,IF(Main[[#This Row],[missingv]]="missing","",Main[[#This Row],[Mean1]]+2.66*Main[[#This Row],[Revised Avg MR Ic]]),"")</f>
        <v/>
      </c>
      <c r="AE19" s="2" t="str">
        <f ca="1">IF($AG$4=1,IF(OR(Main[[#This Row],[DP]]="",ROW(Main[])=ROW(),Main[[#This Row],[Table row]]&gt;$Q$7),"",ABS(Main[[#This Row],[DP]]-OFFSET(Main[[#This Row],[DP]],-1,0))),"")</f>
        <v/>
      </c>
      <c r="AF19" s="2" t="str">
        <f>IF($AG$4=1,IF(Main[[#This Row],[Ext range]]&lt;&gt;"initial","",AVERAGEIF(Main[Ext range],Main[[#This Row],[Ext range]],Main[Mov Range initial Ic Ext])),"")</f>
        <v/>
      </c>
      <c r="AG19" s="2" t="str">
        <f>IF($AG$4=1,IF(Main[[#This Row],[Ext range]]&lt;&gt;"initial","",AVERAGEIF(Main[Ext range],Main[[#This Row],[Ext range]],Main[AVG MR initial Ic Ext])*3.27),"")</f>
        <v/>
      </c>
      <c r="AH19" s="2" t="str">
        <f>IF(Main[[#This Row],[Ext range]]&lt;&gt;"initial","",IF(OR(Main[[#This Row],[DP]]="",Main[[#This Row],[Recalc]]="Recalc",Main[[#This Row],[missingv]]="missing",ROW(Main[])=ROW()),"",IF(Main[[#This Row],[Mov Range initial Ic Ext]]&gt;Main[[#This Row],[Upper MR initial Ic Ext]],"",Main[[#This Row],[Mov Range initial Ic Ext]])))</f>
        <v/>
      </c>
      <c r="AI19" s="2" t="str">
        <f>IF($AG$4=1,IF(Main[[#This Row],[Ext range]]="initial",IF(Main[[#This Row],[missingv]]="missing","",AVERAGEIF(Main[Ext range],Main[[#This Row],[Ext range]],Main[Revised initial MR Ic Ext])),SUMIF(Main[Table row],1,Main[Revised AVG MR init Ic Ext])),"")</f>
        <v/>
      </c>
      <c r="AJ19" s="2" t="str">
        <f>IF($AG$4=1,Main[[#This Row],[Revised AVG MR init Ic Ext]]*2.66/3,"")</f>
        <v/>
      </c>
      <c r="AK19" s="2" t="str">
        <f>IF($AG$4=1,Main[[#This Row],[Ext Mean1]]-2.66*Main[[#This Row],[Revised AVG MR init Ic Ext]],"")</f>
        <v/>
      </c>
      <c r="AL19" s="2" t="str">
        <f>IF($AG$4=1,Main[[#This Row],[Ext Mean1]]+2.66*Main[[#This Row],[Revised AVG MR init Ic Ext]],"")</f>
        <v/>
      </c>
      <c r="AM19" s="2" t="str">
        <f>IF($AD$7=1,IF(Main[[#This Row],[missingv]]="missing","",SUMIFS(Main[Numerator],Main[Range for limits],Main[[#This Row],[Range for limits]],Main[missingv],"&lt;&gt;missing")/SUMIFS(Main[Denominator],Main[Range for limits],Main[[#This Row],[Range for limits]],Main[missingv],"&lt;&gt;missing")),"")</f>
        <v/>
      </c>
      <c r="AN19" s="2" t="str">
        <f>IF(OR($AD$3=1,$AD$6=1),IF(Main[[#This Row],[missingv]]="missing","",SQRT(Main[[#This Row],[Mean2]]/Main[[#This Row],[Denominator]])),"")</f>
        <v/>
      </c>
      <c r="AO19" s="2" t="str">
        <f>IF(OR($AD$3=1,$AD$6=1),IF(Main[[#This Row],[missingv]]="missing","",Main[[#This Row],[Mean2]]-3*Main[[#This Row],[Sigma Uchart]]),"")</f>
        <v/>
      </c>
      <c r="AP19" s="2" t="str">
        <f>IF(OR($AD$3=1,$AD$6=1),IF(Main[[#This Row],[missingv]]="missing","",Main[[#This Row],[Mean2]]+3*Main[[#This Row],[Sigma Uchart]]),"")</f>
        <v/>
      </c>
      <c r="AQ19" s="2" t="str">
        <f>IF(OR($AD$1=1,$AD$2=1,$AD$4=1,$AD$5=1),IF(Main[[#This Row],[missingv]]="missing","",SQRT(Main[[#This Row],[Mean2]]*(1-Main[[#This Row],[Mean2]]))/SQRT(Main[[#This Row],[Denominator]])),"")</f>
        <v/>
      </c>
      <c r="AR19" s="2" t="str">
        <f>IF(OR($AD$1=1,$AD$2=1,$AD$4=1,$AD$5=1),IF(Main[[#This Row],[missingv]]="missing","",Main[[#This Row],[Mean2]]-3*Main[[#This Row],[Sigma Pchart]]),"")</f>
        <v/>
      </c>
      <c r="AS19" s="2" t="str">
        <f>IF(OR($AD$1=1,$AD$2=1,$AD$4=1,$AD$5=1),IF(Main[[#This Row],[missingv]]="missing","",Main[[#This Row],[Mean2]]+3*Main[[#This Row],[Sigma Pchart]]),"")</f>
        <v/>
      </c>
      <c r="AT19" s="2" t="str">
        <f>IF(OR($AD$2=1,$AD$5=1),IF(Main[[#This Row],[missingv]]="missing","",(Main[[#This Row],[DP]]-Main[[#This Row],[Mean2]])/Main[[#This Row],[Sigma Pchart]]),"")</f>
        <v/>
      </c>
      <c r="AU19" s="2" t="str">
        <f ca="1">IF(OR($AD$2=1,$AD$5=1),IF(OR(Main[[#This Row],[DP]]="",Main[[#This Row],[Recalc]]="Recalc",Main[[#This Row],[missingv]]="missing",OFFSET(Main[[#This Row],[missingv]],-1,0)="missing",ROW(Main[])=ROW()),"",ABS(Main[[#This Row],[Z Score]]-OFFSET(Main[[#This Row],[Z Score]],-1,0))),"")</f>
        <v/>
      </c>
      <c r="AV19" s="2" t="str">
        <f>IF(OR($AD$2=1,$AD$5=1),IF(OR(Main[[#This Row],[DP]]="",Main[[#This Row],[missingv]]="missing"),"",AVERAGEIF(Main[Range for limits],Main[[#This Row],[Range for limits]],Main[Moving Range Pprime])),"")</f>
        <v/>
      </c>
      <c r="AW19" s="2" t="str">
        <f>IF(OR($AD$2=1,$AD$5=1),IF(Main[[#This Row],[missingv]]="missing","",Main[[#This Row],[Average Mov Range Pprime]]*3.27),"")</f>
        <v/>
      </c>
      <c r="AX19" s="2" t="str">
        <f>IF(OR(Main[[#This Row],[DP]]="",Main[[#This Row],[Recalc]]="Recalc",Main[[#This Row],[missingv]]="missing",ROW(Main[])=ROW()),"",IF(Main[[#This Row],[Moving Range Pprime]]&gt;Main[[#This Row],[Upper limit of MR Pprime]],"",Main[[#This Row],[Moving Range Pprime]]))</f>
        <v/>
      </c>
      <c r="AY19" s="2" t="str">
        <f>IF(OR($AD$2=1,$AD$5=1),IF(OR(Main[[#This Row],[DP]]="",Main[[#This Row],[missingv]]="missing"),"",AVERAGEIF(Main[Range for limits],Main[[#This Row],[Range for limits]],Main[Revised MR Pprime])),"")</f>
        <v/>
      </c>
      <c r="AZ19" s="2" t="str">
        <f>IF(OR($AD$2=1,$AD$5=1),IF(Main[[#This Row],[missingv]]="missing","",Main[[#This Row],[Revised AVG MR Pprime]]/1.128),"")</f>
        <v/>
      </c>
      <c r="BA19" s="2" t="str">
        <f>IF(OR($AD$2=1,$AD$5=1),IF(Main[[#This Row],[missingv]]="missing","",Main[[#This Row],[Sigma Pchart]]*Main[[#This Row],[SigmaZ Pprime]]),"")</f>
        <v/>
      </c>
      <c r="BB19" s="2" t="str">
        <f>IF(OR($AD$2=1,$AD$5=1),IF(Main[[#This Row],[missingv]]="missing","",Main[[#This Row],[Mean2]]-3*Main[[#This Row],[Sigma*SZ Pprime]]),"")</f>
        <v/>
      </c>
      <c r="BC19" s="2" t="str">
        <f>IF(OR($AD$2=1,$AD$5=1),IF(Main[[#This Row],[missingv]]="missing","",Main[[#This Row],[Mean2]]+3*Main[[#This Row],[Sigma*SZ Pprime]]),"")</f>
        <v/>
      </c>
      <c r="BD19" s="2" t="e">
        <f>IF(OR($AG$1=1,$AG$3=1),Main[[#This Row],[Mean1]],IF(OR($AG$2=1,$AG$4=1),Main[[#This Row],[Ext Mean1]],
IF(OR($AD$1=1,$AD$2=1,$AD$3=1,$AD$4=1,$AD$5=1,$AD$6=1),Main[[#This Row],[Mean2]],
NA())))</f>
        <v>#N/A</v>
      </c>
      <c r="BE19" s="2" t="e">
        <f>IF($AG$1=1,Main[[#This Row],[Sigma Cchart]],IF($AG$2=1,Main[[#This Row],[Sigma Cc for ext]],
IF($AG$3=1,Main[[#This Row],[Sigma Ic]],IF($AG$4=1,Main[[#This Row],[Sigma initial Ic Ext]],
IF($AD$3=1,Main[[#This Row],[Sigma Uchart]],IF($AD$1=1,Main[[#This Row],[Sigma Pchart]],
IF($AD$2=1,Main[[#This Row],[Sigma*SZ Pprime]],
NA())))))))</f>
        <v>#N/A</v>
      </c>
      <c r="BF19" s="2" t="e">
        <f>IF($AG$1=1,Main[[#This Row],[LCL Cchart]],IF($AG$2=1,Main[[#This Row],[Ext LCL Cc]],
IF($AG$3=1,Main[[#This Row],[LCL Ichart]],IF($AG$4=1,Main[[#This Row],[LCL initial Ic Ext]],
IF(OR($AD$3=1,$AD$6=1),Main[[#This Row],[LCL Uchart]],IF(OR($AD$1=1,$AD$4=1),Main[[#This Row],[LCL Pchart]],
IF(OR($AD$2=1,$AD$5=1),Main[[#This Row],[LCL Pprime]],
NA())))))))</f>
        <v>#N/A</v>
      </c>
      <c r="BG19" s="2" t="e">
        <f>IF($AG$1=1,Main[[#This Row],[UCL Cchart]],IF($AG$2=1,Main[[#This Row],[Ext UCL Cc]],
IF($AG$3=1,Main[[#This Row],[UCL Ichart]],IF($AG$4=1,Main[[#This Row],[UCL initial Ic Ext]],
IF(OR($AD$3=1,$AD$6=1),Main[[#This Row],[UCL Uchart]],IF(OR($AD$1=1,$AD$4=1),Main[[#This Row],[UCL Pchart]],
IF(OR($AD$2=1,$AD$5=1),Main[[#This Row],[UCL Pprime]],
NA())))))))</f>
        <v>#N/A</v>
      </c>
      <c r="BH19" s="2" t="e">
        <f>IF(Main[[#This Row],[missingv]]="missing","",IF(ROUND(Main[[#This Row],[DP]],$W$9)&gt;ROUND(Main[[#This Row],[Use UCL]],$W$9), "HIGH",IF(ROUND(Main[[#This Row],[DP]],$W$9)&lt;ROUND(Main[[#This Row],[Use LCL]],$W$9), "LOW","")))</f>
        <v>#VALUE!</v>
      </c>
      <c r="BI19" s="2" t="e">
        <f>IF(OR(Main[[#This Row],[Over limit]]="HIGH",Main[[#This Row],[Over limit]]="LOW"),Main[[#This Row],[DP]],"")</f>
        <v>#VALUE!</v>
      </c>
      <c r="BJ19" s="2" t="e">
        <f>IF(Main[[#This Row],[missingv]]="missing","",IF(OR(ROUND(Main[[#This Row],[DP]],$W$9)&gt;ROUND(Main[[#This Row],[Use UCL]]-Main[[#This Row],[Use Sigma]],$W$9),ROUND(Main[[#This Row],[DP]],$W$9)&lt;ROUND(Main[[#This Row],[Use LCL]]+Main[[#This Row],[Use Sigma]],$W$9)),"over2S",""))</f>
        <v>#VALUE!</v>
      </c>
      <c r="BK19" s="2" t="e">
        <f ca="1">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f>
        <v>#VALUE!</v>
      </c>
      <c r="BL19" s="2" t="str">
        <f ca="1">IF(ROW(Main[])=ROW(),"", IF(OFFSET(Main[[#This Row],[first trend up or down]],-1,0)&lt;&gt;"",OFFSET(Main[[#This Row],[first trend up or down]],-1,0),IF(ROUND(Main[[#This Row],[DP]],$W$9)=ROUND(OFFSET(Main[[#This Row],[DP]],-1,0),$W$9),"",IF(ROUND(Main[[#This Row],[DP]],$W$9)&gt;ROUND(OFFSET(Main[[#This Row],[DP]],-1,0),$W$9),1,"d"))))</f>
        <v/>
      </c>
      <c r="BM19" s="2" t="str">
        <f ca="1">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f>
        <v/>
      </c>
      <c r="BN19" s="2" t="e">
        <f ca="1">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f>
        <v>#DIV/0!</v>
      </c>
      <c r="BO19" s="2" t="e">
        <f ca="1">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f>
        <v>#DIV/0!</v>
      </c>
      <c r="BP19" s="2" t="str">
        <f ca="1">IF(ROW(Main[])=ROW(),"",IF(Main[[#This Row],[first trend up or down]]="","",IF(OFFSET(Main[[#This Row],[trend for 6up or down ignoring equal2]],-1,0)="",IF(Main[[#This Row],[first trend up or down]]="d","Down","Up"),IF(ROUND(Main[[#This Row],[DP]],$W$9)=ROUND(OFFSET(Main[[#This Row],[DP]],-1,0),$W$9),"Equal",IF(ROUND(Main[[#This Row],[DP]],$W$9)&gt;ROUND(OFFSET(Main[[#This Row],[DP]],-1,0),$W$9),"Up","Down")))))</f>
        <v/>
      </c>
      <c r="BQ19" s="2" t="e">
        <f ca="1">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f>
        <v>#DIV/0!</v>
      </c>
      <c r="BR19" s="2" t="e">
        <f ca="1">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f>
        <v>#DIV/0!</v>
      </c>
      <c r="BS19" s="2" t="e">
        <f ca="1">IF(OR($T$11=1,COUNTIF(Main[6up or down v2],#VALUE!)&gt;0),Main[[#This Row],[6up or down v1]],Main[[#This Row],[6up or down v2]])</f>
        <v>#DIV/0!</v>
      </c>
      <c r="BT19" s="2" t="e">
        <f ca="1">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f>
        <v>#VALUE!</v>
      </c>
      <c r="BU19" s="2" t="e">
        <f ca="1">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f>
        <v>#VALUE!</v>
      </c>
      <c r="BV19" s="2" t="str">
        <f ca="1">IF(COUNTIF(Main[grouping vs CL],"8"&amp;RIGHT(Main[[#This Row],[grouping vs CL]],LEN(Main[[#This Row],[grouping vs CL]])-FIND("G",Main[[#This Row],[grouping vs CL]])+4))&gt;0,Main[[#This Row],[DP]],"")</f>
        <v/>
      </c>
      <c r="BW19" s="2" t="e">
        <f>IF(Main[[#This Row],[missingv]]="missing","",IF(AND(ROUND(Main[[#This Row],[DP]],$W$9)&gt;Main[[#This Row],[Use Mean]]-Main[[#This Row],[Use Sigma]],ROUND(Main[[#This Row],[DP]],$W$9)&lt;Main[[#This Row],[Use Mean]]+Main[[#This Row],[Use Sigma]]),"close","far"))</f>
        <v>#VALUE!</v>
      </c>
      <c r="BX19" s="2" t="e">
        <f ca="1">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f>
        <v>#VALUE!</v>
      </c>
      <c r="BY19" s="2" t="str">
        <f ca="1">IF(COUNTIFS(Main[15 hugging],"15"&amp;RIGHT(Main[[#This Row],[15 hugging]],LEN(Main[[#This Row],[15 hugging]])-FIND("H",Main[[#This Row],[15 hugging]])+4),Main[15 hugging],"*c*")&gt;0,Main[[#This Row],[DP]],"")</f>
        <v/>
      </c>
      <c r="BZ19" s="2" t="str">
        <f>IF(ISERROR(Main[[#This Row],[Pink]]),"",IF(Main[[#This Row],[Pink]]="","",CONCATENATE("R ",IF(Main[[#This Row],[Pink]]=Main[[#This Row],[Ab/below]],"1, ",""),IF(OR($AD$4=1,$AD$5=1,$AD$6=1),"",CONCATENATE(IF(Main[[#This Row],[Pink]]=Main[[#This Row],[2of3 close to limit]],"2, ",""),IF(Main[[#This Row],[Pink]]=Main[[#This Row],[final 6 up or down]],"3, ",""),IF(Main[[#This Row],[Pink]]=Main[[#This Row],[8 above or below CL]],"4, ",""),IF(Main[[#This Row],[Pink]]=Main[[#This Row],[15 close CL]],"5, ",""))))))</f>
        <v/>
      </c>
      <c r="CA19" s="72" t="e">
        <f>IF(Main[[#This Row],[missingv]]="missing",NA(),IF(AND(OR($AD$4=1,$AD$5=1,$AD$6=1),Main[[#This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f>
        <v>#VALUE!</v>
      </c>
      <c r="CB19" s="74"/>
      <c r="CC19" s="74" t="e">
        <f>IF(Main[[#This Row],[Add pink]]&lt;&gt;"Add Pink",NA(),Main[[#This Row],[DP]])</f>
        <v>#N/A</v>
      </c>
      <c r="CD19" s="74"/>
      <c r="CE19" s="74" t="e">
        <f>IF(Main[[#This Row],[Add blue]]&lt;&gt;"Add Blue",NA(),Main[[#This Row],[DP]])</f>
        <v>#N/A</v>
      </c>
      <c r="CF19" s="72" t="e">
        <f>IF($Q$4=1,IF(Main[[#This Row],[missingv]]="missing",NA(),Main[[#This Row],[DP]]),NA())</f>
        <v>#N/A</v>
      </c>
      <c r="CG19" s="72" t="e">
        <f>IF($Q$5=1,IF(Main[[#This Row],[missingv]]="missing",NA(),Main[[#This Row],[DP]]),NA())</f>
        <v>#N/A</v>
      </c>
      <c r="CH19" s="86" t="str">
        <f>IF(OR($Q$4=1,$Q$5=1),IF(Main[[#This Row],[missingv]]="missing",NA(),Main[[#This Row],[Use Mean]]),"")</f>
        <v/>
      </c>
      <c r="CI19" s="86" t="str">
        <f>IF(OR($Q$4=1,$Q$5=1),IF(Main[[#This Row],[missingv]]="missing",NA(),Main[[#This Row],[Use LCL]]),"")</f>
        <v/>
      </c>
      <c r="CJ19" s="86" t="str">
        <f>IF(OR($Q$4=1,$Q$5=1),IF(Main[[#This Row],[missingv]]="missing",NA(),Main[[#This Row],[Use UCL]]),"")</f>
        <v/>
      </c>
      <c r="CK19" s="85">
        <f>IF(OR($AD$4=1,$AD$5=1,$AD$6=1),NA(),IF(ISNUMBER($CK$16),$CK$16,NA()))</f>
        <v>2</v>
      </c>
      <c r="CL19" s="74" t="e">
        <f>IF(ROW()=ROW(Main[])+ROWS(Main[])-1,Main[[#This Row],[Targ.]],NA())</f>
        <v>#N/A</v>
      </c>
      <c r="CM19" s="74" t="e">
        <f>IF(ROW()=ROW(Main[])+ROWS(Main[])-1,Main[[#This Row],[CL graph]],NA())</f>
        <v>#N/A</v>
      </c>
      <c r="CN19" s="79">
        <f>IF(COUNTIF(Main[Pink],"#VALUE!")&gt;0,100%,0)</f>
        <v>1</v>
      </c>
      <c r="CO19" s="72" t="e">
        <f>IF(AND($Q$4=1,OR($AG$2=1,$AG$4=1),Main[[#This Row],[Ext range]]="extend"),IF(Main[[#This Row],[missingv]]="missing",NA(),Main[[#This Row],[Use LCL]]),NA())</f>
        <v>#N/A</v>
      </c>
      <c r="CP19" s="72" t="e">
        <f>IF(AND($Q$4=1,OR($AG$2=1,$AG$4=1),Main[[#This Row],[Ext range]]="extend"),IF(Main[[#This Row],[missingv]]="missing",NA(),Main[[#This Row],[Use UCL]]),NA())</f>
        <v>#N/A</v>
      </c>
    </row>
    <row r="20" spans="1:94" x14ac:dyDescent="0.25">
      <c r="A20" s="4"/>
      <c r="B20" s="138"/>
      <c r="C20" s="101"/>
      <c r="D20" s="110"/>
      <c r="E20" s="50" t="str">
        <f t="shared" ref="E20" si="1">IF(AND(SUM($AA$2:$AA$5)=0,$D$5="yes"),$E$5,"")</f>
        <v/>
      </c>
      <c r="F20" s="51" t="str">
        <f>IF(AND(SUM($AA$2:$AA$5)=0,$A$5="yes"),"",IF(AND(SUM($AA$2:$AA$5)=0,$C$5="yes",$D$5&lt;&gt;"yes",Main[[#This Row],[Numerator]]&lt;&gt;"",ISNUMBER(Main[[#This Row],[Numerator]]),ISNUMBER(Main[[#This Row],[Denominator base]]),Main[[#This Row],[Denominator base]]&lt;&gt;0),Main[[#This Row],[Numerator]]/Main[[#This Row],[Denominator base]],IF(AND(SUM($AA$2:$AA$5)=0,$C$5="yes",$D$5="yes",Main[[#This Row],[Numerator]]&lt;&gt;"",ISNUMBER(Main[[#This Row],[Numerator]]),ISNUMBER(Main[[#This Row],[Denominator base]]),Main[[#This Row],[Denominator base]]&lt;&gt;0),Main[[#This Row],[Numerator]]/Main[[#This Row],[Denominator base]]*Main[[#This Row],[Factor]],"")))</f>
        <v/>
      </c>
      <c r="G20" s="54"/>
      <c r="H20" s="54"/>
      <c r="I20" s="68" t="str">
        <f ca="1">IF(ROW(Main[])=ROW(),"R1",IF(OR(OR(AND(Main[[#This Row],[Recalc]]="Recalc",Main[[#This Row],[missingv]]=""),AND(Main[[#This Row],[missingv]]="missing",Main[[#This Row],[Recalc]]&lt;&gt;"Ignore missing")),AND(Main[[#This Row],[Recalc]]="",Main[[#This Row],[missingv]]="",AND(OFFSET(Main[[#This Row],[missingv]],-1,0)="missing",OFFSET(Main[[#This Row],[Recalc]],-1,0)&lt;&gt;"Ignore missing"))),CONCATENATE("R",RIGHT(OFFSET(Main[[#This Row],[Range for limits]],-1,0),LEN(OFFSET(Main[[#This Row],[Range for limits]],-1,0))-1)+1),OFFSET(Main[[#This Row],[Range for limits]],-1,0)))</f>
        <v>R1</v>
      </c>
      <c r="J20" s="68" t="str">
        <f ca="1">IF(ROW(Main[])=ROW(),"R1",IF(OR(OR(Main[[#This Row],[Recalc]]="Recalc",Main[[#This Row],[missingv]]="missing"),AND(Main[[#This Row],[Recalc]]="",Main[[#This Row],[missingv]]="",OFFSET(Main[[#This Row],[missingv]],-1,0)="missing")),CONCATENATE("R",RIGHT(OFFSET(Main[[#This Row],[Range]],-1,0),LEN(OFFSET(Main[[#This Row],[Range]],-1,0))-1)+1),OFFSET(Main[[#This Row],[Range]],-1,0)))</f>
        <v>R1</v>
      </c>
      <c r="K20" s="2" t="str">
        <f>IF(AND($T$8=2,$D$5&lt;&gt;"yes"),Main[[#This Row],[Denominator base]],IF(AND($T$8=2,$D$5="yes"),Main[[#This Row],[Denominator base]]/Main[[#This Row],[Factor]],""))</f>
        <v/>
      </c>
      <c r="L20" s="2" t="str">
        <f>IF($T$8=1,IF(ISBLANK(Main[[#This Row],[InputDP]]),"",Main[[#This Row],[InputDP]]),IF($T$8=2,Main[[#This Row],[CalcDP]],""))</f>
        <v/>
      </c>
      <c r="M20" s="2">
        <f>ROW()-ROW(Main[])+1</f>
        <v>2</v>
      </c>
      <c r="N20" s="2" t="str">
        <f>IF($Q$6&lt;&gt;1,"",IF(AND($Q$6=1,Main[[#This Row],[Table row]]&lt;=$Q$7),"initial","extend"))</f>
        <v/>
      </c>
      <c r="O20" s="2" t="str">
        <f>IF($AG$5=1,IF(Main[[#This Row],[missingv]]="missing","",AVERAGEIFS(Main[DP],Main[Range for limits],Main[[#This Row],[Range for limits]],Main[missingv],"&lt;&gt;missing")),"")</f>
        <v/>
      </c>
      <c r="P20" s="2" t="str">
        <f>IF(OR($Q$6&lt;&gt;1,$T$8&lt;&gt;1),"",IF(Main[[#This Row],[Ext range]]="initial",IF(Main[[#This Row],[missingv]]="missing","",AVERAGEIFS(Main[DP],Main[Range for limits],Main[[#This Row],[Range for limits]],Main[missingv],"&lt;&gt;missing",Main[Ext range],"initial")),SUMIF(Main[Table row],1,Main[Ext Mean1])))</f>
        <v/>
      </c>
      <c r="Q20" s="2" t="str">
        <f>IF($AG$1=1,IF(Main[[#This Row],[missingv]]="missing","",SQRT(Main[[#This Row],[Mean1]])),"")</f>
        <v/>
      </c>
      <c r="R20" s="2" t="str">
        <f>IF($AG$1=1,IF(Main[[#This Row],[missingv]]="missing","",Main[[#This Row],[Mean1]]-3*Main[[#This Row],[Sigma Cchart]]),"")</f>
        <v/>
      </c>
      <c r="S20" s="2" t="str">
        <f>IF($AG$1=1,IF(Main[[#This Row],[missingv]]="missing","",Main[[#This Row],[Mean1]]+3*Main[[#This Row],[Sigma Cchart]]),"")</f>
        <v/>
      </c>
      <c r="T20" s="2" t="str">
        <f>IF($AG$2=1,IF(Main[[#This Row],[missingv]]="missing","",SQRT(Main[[#This Row],[Ext Mean1]])),"")</f>
        <v/>
      </c>
      <c r="U20" s="2" t="str">
        <f>IF($AG$2=1,IF(Main[[#This Row],[missingv]]="missing","",Main[[#This Row],[Ext Mean1]]-3*Main[[#This Row],[Sigma Cc for ext]]),"")</f>
        <v/>
      </c>
      <c r="V20" s="2" t="str">
        <f>IF($AG$2=1,IF(Main[[#This Row],[missingv]]="missing","",Main[[#This Row],[Ext Mean1]]+3*Main[[#This Row],[Sigma Cc for ext]]),"")</f>
        <v/>
      </c>
      <c r="W20" s="2" t="str">
        <f ca="1">IF($AG$3=1,IF(OR(Main[[#This Row],[DP]]="",Main[[#This Row],[Recalc]]="Recalc",Main[[#This Row],[missingv]]="missing",OFFSET(Main[[#This Row],[missingv]],-1,0)="missing",ROW(Main[])=ROW()),"",ABS(Main[[#This Row],[DP]]-OFFSET(Main[[#This Row],[DP]],-1,0))),"")</f>
        <v/>
      </c>
      <c r="X20" s="2" t="str">
        <f>IF($AG$3=1,IF(OR(Main[[#This Row],[DP]]="",Main[[#This Row],[missingv]]="missing"),"",AVERAGEIF(Main[Range for limits],Main[[#This Row],[Range for limits]],Main[Moving range Ichart])),"")</f>
        <v/>
      </c>
      <c r="Y20" s="2" t="str">
        <f>IF($AG$3=1,IF(Main[[#This Row],[missingv]]="missing","",Main[[#This Row],[Average of MR Ichart]]*3.27),"")</f>
        <v/>
      </c>
      <c r="Z20" s="2" t="str">
        <f>IF(OR(Main[[#This Row],[DP]]="",Main[[#This Row],[Recalc]]="Recalc",Main[[#This Row],[missingv]]="missing",ROW(Main[])=ROW()),"",IF(Main[[#This Row],[Moving range Ichart]]&gt;Main[[#This Row],[Upper limit of MR Ic]],"",Main[[#This Row],[Moving range Ichart]]))</f>
        <v/>
      </c>
      <c r="AA20" s="2" t="str">
        <f>IF($AG$3=1,IF(OR(Main[[#This Row],[DP]]="",Main[[#This Row],[missingv]]="missing"),"",AVERAGEIF(Main[Range for limits],Main[[#This Row],[Range for limits]],Main[Revised MR Ic])),"")</f>
        <v/>
      </c>
      <c r="AB20" s="2" t="str">
        <f>IF($AG$3=1,IF(Main[[#This Row],[missingv]]="missing","",Main[[#This Row],[Revised Avg MR Ic]]*2.66/3),"")</f>
        <v/>
      </c>
      <c r="AC20" s="2" t="str">
        <f>IF($AG$3=1,IF(Main[[#This Row],[missingv]]="missing","",Main[[#This Row],[Mean1]]-2.66*Main[[#This Row],[Revised Avg MR Ic]]),"")</f>
        <v/>
      </c>
      <c r="AD20" s="2" t="str">
        <f>IF($AG$3=1,IF(Main[[#This Row],[missingv]]="missing","",Main[[#This Row],[Mean1]]+2.66*Main[[#This Row],[Revised Avg MR Ic]]),"")</f>
        <v/>
      </c>
      <c r="AE20" s="2" t="str">
        <f ca="1">IF($AG$4=1,IF(OR(Main[[#This Row],[DP]]="",ROW(Main[])=ROW(),Main[[#This Row],[Table row]]&gt;$Q$7),"",ABS(Main[[#This Row],[DP]]-OFFSET(Main[[#This Row],[DP]],-1,0))),"")</f>
        <v/>
      </c>
      <c r="AF20" s="2" t="str">
        <f>IF($AG$4=1,IF(Main[[#This Row],[Ext range]]&lt;&gt;"initial","",AVERAGEIF(Main[Ext range],Main[[#This Row],[Ext range]],Main[Mov Range initial Ic Ext])),"")</f>
        <v/>
      </c>
      <c r="AG20" s="2" t="str">
        <f>IF($AG$4=1,IF(Main[[#This Row],[Ext range]]&lt;&gt;"initial","",AVERAGEIF(Main[Ext range],Main[[#This Row],[Ext range]],Main[AVG MR initial Ic Ext])*3.27),"")</f>
        <v/>
      </c>
      <c r="AH20" s="2" t="str">
        <f>IF(Main[[#This Row],[Ext range]]&lt;&gt;"initial","",IF(OR(Main[[#This Row],[DP]]="",Main[[#This Row],[Recalc]]="Recalc",Main[[#This Row],[missingv]]="missing",ROW(Main[])=ROW()),"",IF(Main[[#This Row],[Mov Range initial Ic Ext]]&gt;Main[[#This Row],[Upper MR initial Ic Ext]],"",Main[[#This Row],[Mov Range initial Ic Ext]])))</f>
        <v/>
      </c>
      <c r="AI20" s="2" t="str">
        <f>IF($AG$4=1,IF(Main[[#This Row],[Ext range]]="initial",IF(Main[[#This Row],[missingv]]="missing","",AVERAGEIF(Main[Ext range],Main[[#This Row],[Ext range]],Main[Revised initial MR Ic Ext])),SUMIF(Main[Table row],1,Main[Revised AVG MR init Ic Ext])),"")</f>
        <v/>
      </c>
      <c r="AJ20" s="2" t="str">
        <f>IF($AG$4=1,Main[[#This Row],[Revised AVG MR init Ic Ext]]*2.66/3,"")</f>
        <v/>
      </c>
      <c r="AK20" s="2" t="str">
        <f>IF($AG$4=1,Main[[#This Row],[Ext Mean1]]-2.66*Main[[#This Row],[Revised AVG MR init Ic Ext]],"")</f>
        <v/>
      </c>
      <c r="AL20" s="2" t="str">
        <f>IF($AG$4=1,Main[[#This Row],[Ext Mean1]]+2.66*Main[[#This Row],[Revised AVG MR init Ic Ext]],"")</f>
        <v/>
      </c>
      <c r="AM20" s="2" t="str">
        <f>IF($AD$7=1,IF(Main[[#This Row],[missingv]]="missing","",SUMIFS(Main[Numerator],Main[Range for limits],Main[[#This Row],[Range for limits]],Main[missingv],"&lt;&gt;missing")/SUMIFS(Main[Denominator],Main[Range for limits],Main[[#This Row],[Range for limits]],Main[missingv],"&lt;&gt;missing")),"")</f>
        <v/>
      </c>
      <c r="AN20" s="2" t="str">
        <f>IF(OR($AD$3=1,$AD$6=1),IF(Main[[#This Row],[missingv]]="missing","",SQRT(Main[[#This Row],[Mean2]]/Main[[#This Row],[Denominator]])),"")</f>
        <v/>
      </c>
      <c r="AO20" s="2" t="str">
        <f>IF(OR($AD$3=1,$AD$6=1),IF(Main[[#This Row],[missingv]]="missing","",Main[[#This Row],[Mean2]]-3*Main[[#This Row],[Sigma Uchart]]),"")</f>
        <v/>
      </c>
      <c r="AP20" s="2" t="str">
        <f>IF(OR($AD$3=1,$AD$6=1),IF(Main[[#This Row],[missingv]]="missing","",Main[[#This Row],[Mean2]]+3*Main[[#This Row],[Sigma Uchart]]),"")</f>
        <v/>
      </c>
      <c r="AQ20" s="2" t="str">
        <f>IF(OR($AD$1=1,$AD$2=1,$AD$4=1,$AD$5=1),IF(Main[[#This Row],[missingv]]="missing","",SQRT(Main[[#This Row],[Mean2]]*(1-Main[[#This Row],[Mean2]]))/SQRT(Main[[#This Row],[Denominator]])),"")</f>
        <v/>
      </c>
      <c r="AR20" s="2" t="str">
        <f>IF(OR($AD$1=1,$AD$2=1,$AD$4=1,$AD$5=1),IF(Main[[#This Row],[missingv]]="missing","",Main[[#This Row],[Mean2]]-3*Main[[#This Row],[Sigma Pchart]]),"")</f>
        <v/>
      </c>
      <c r="AS20" s="2" t="str">
        <f>IF(OR($AD$1=1,$AD$2=1,$AD$4=1,$AD$5=1),IF(Main[[#This Row],[missingv]]="missing","",Main[[#This Row],[Mean2]]+3*Main[[#This Row],[Sigma Pchart]]),"")</f>
        <v/>
      </c>
      <c r="AT20" s="2" t="str">
        <f>IF(OR($AD$2=1,$AD$5=1),IF(Main[[#This Row],[missingv]]="missing","",(Main[[#This Row],[DP]]-Main[[#This Row],[Mean2]])/Main[[#This Row],[Sigma Pchart]]),"")</f>
        <v/>
      </c>
      <c r="AU20" s="2" t="str">
        <f ca="1">IF(OR($AD$2=1,$AD$5=1),IF(OR(Main[[#This Row],[DP]]="",Main[[#This Row],[Recalc]]="Recalc",Main[[#This Row],[missingv]]="missing",OFFSET(Main[[#This Row],[missingv]],-1,0)="missing",ROW(Main[])=ROW()),"",ABS(Main[[#This Row],[Z Score]]-OFFSET(Main[[#This Row],[Z Score]],-1,0))),"")</f>
        <v/>
      </c>
      <c r="AV20" s="2" t="str">
        <f>IF(OR($AD$2=1,$AD$5=1),IF(OR(Main[[#This Row],[DP]]="",Main[[#This Row],[missingv]]="missing"),"",AVERAGEIF(Main[Range for limits],Main[[#This Row],[Range for limits]],Main[Moving Range Pprime])),"")</f>
        <v/>
      </c>
      <c r="AW20" s="2" t="str">
        <f>IF(OR($AD$2=1,$AD$5=1),IF(Main[[#This Row],[missingv]]="missing","",Main[[#This Row],[Average Mov Range Pprime]]*3.27),"")</f>
        <v/>
      </c>
      <c r="AX20" s="2" t="str">
        <f>IF(OR(Main[[#This Row],[DP]]="",Main[[#This Row],[Recalc]]="Recalc",Main[[#This Row],[missingv]]="missing",ROW(Main[])=ROW()),"",IF(Main[[#This Row],[Moving Range Pprime]]&gt;Main[[#This Row],[Upper limit of MR Pprime]],"",Main[[#This Row],[Moving Range Pprime]]))</f>
        <v/>
      </c>
      <c r="AY20" s="2" t="str">
        <f>IF(OR($AD$2=1,$AD$5=1),IF(OR(Main[[#This Row],[DP]]="",Main[[#This Row],[missingv]]="missing"),"",AVERAGEIF(Main[Range for limits],Main[[#This Row],[Range for limits]],Main[Revised MR Pprime])),"")</f>
        <v/>
      </c>
      <c r="AZ20" s="2" t="str">
        <f>IF(OR($AD$2=1,$AD$5=1),IF(Main[[#This Row],[missingv]]="missing","",Main[[#This Row],[Revised AVG MR Pprime]]/1.128),"")</f>
        <v/>
      </c>
      <c r="BA20" s="2" t="str">
        <f>IF(OR($AD$2=1,$AD$5=1),IF(Main[[#This Row],[missingv]]="missing","",Main[[#This Row],[Sigma Pchart]]*Main[[#This Row],[SigmaZ Pprime]]),"")</f>
        <v/>
      </c>
      <c r="BB20" s="2" t="str">
        <f>IF(OR($AD$2=1,$AD$5=1),IF(Main[[#This Row],[missingv]]="missing","",Main[[#This Row],[Mean2]]-3*Main[[#This Row],[Sigma*SZ Pprime]]),"")</f>
        <v/>
      </c>
      <c r="BC20" s="2" t="str">
        <f>IF(OR($AD$2=1,$AD$5=1),IF(Main[[#This Row],[missingv]]="missing","",Main[[#This Row],[Mean2]]+3*Main[[#This Row],[Sigma*SZ Pprime]]),"")</f>
        <v/>
      </c>
      <c r="BD20" s="2" t="e">
        <f>IF(OR($AG$1=1,$AG$3=1),Main[[#This Row],[Mean1]],IF(OR($AG$2=1,$AG$4=1),Main[[#This Row],[Ext Mean1]],
IF(OR($AD$1=1,$AD$2=1,$AD$3=1,$AD$4=1,$AD$5=1,$AD$6=1),Main[[#This Row],[Mean2]],
NA())))</f>
        <v>#N/A</v>
      </c>
      <c r="BE20" s="2" t="e">
        <f>IF($AG$1=1,Main[[#This Row],[Sigma Cchart]],IF($AG$2=1,Main[[#This Row],[Sigma Cc for ext]],
IF($AG$3=1,Main[[#This Row],[Sigma Ic]],IF($AG$4=1,Main[[#This Row],[Sigma initial Ic Ext]],
IF($AD$3=1,Main[[#This Row],[Sigma Uchart]],IF($AD$1=1,Main[[#This Row],[Sigma Pchart]],
IF($AD$2=1,Main[[#This Row],[Sigma*SZ Pprime]],
NA())))))))</f>
        <v>#N/A</v>
      </c>
      <c r="BF20" s="2" t="e">
        <f>IF($AG$1=1,Main[[#This Row],[LCL Cchart]],IF($AG$2=1,Main[[#This Row],[Ext LCL Cc]],
IF($AG$3=1,Main[[#This Row],[LCL Ichart]],IF($AG$4=1,Main[[#This Row],[LCL initial Ic Ext]],
IF(OR($AD$3=1,$AD$6=1),Main[[#This Row],[LCL Uchart]],IF(OR($AD$1=1,$AD$4=1),Main[[#This Row],[LCL Pchart]],
IF(OR($AD$2=1,$AD$5=1),Main[[#This Row],[LCL Pprime]],
NA())))))))</f>
        <v>#N/A</v>
      </c>
      <c r="BG20" s="2" t="e">
        <f>IF($AG$1=1,Main[[#This Row],[UCL Cchart]],IF($AG$2=1,Main[[#This Row],[Ext UCL Cc]],
IF($AG$3=1,Main[[#This Row],[UCL Ichart]],IF($AG$4=1,Main[[#This Row],[UCL initial Ic Ext]],
IF(OR($AD$3=1,$AD$6=1),Main[[#This Row],[UCL Uchart]],IF(OR($AD$1=1,$AD$4=1),Main[[#This Row],[UCL Pchart]],
IF(OR($AD$2=1,$AD$5=1),Main[[#This Row],[UCL Pprime]],
NA())))))))</f>
        <v>#N/A</v>
      </c>
      <c r="BH20" s="2" t="e">
        <f>IF(Main[[#This Row],[missingv]]="missing","",IF(ROUND(Main[[#This Row],[DP]],$W$9)&gt;ROUND(Main[[#This Row],[Use UCL]],$W$9), "HIGH",IF(ROUND(Main[[#This Row],[DP]],$W$9)&lt;ROUND(Main[[#This Row],[Use LCL]],$W$9), "LOW","")))</f>
        <v>#VALUE!</v>
      </c>
      <c r="BI20" s="2" t="e">
        <f>IF(OR(Main[[#This Row],[Over limit]]="HIGH",Main[[#This Row],[Over limit]]="LOW"),Main[[#This Row],[DP]],"")</f>
        <v>#VALUE!</v>
      </c>
      <c r="BJ20" s="2" t="e">
        <f>IF(Main[[#This Row],[missingv]]="missing","",IF(OR(ROUND(Main[[#This Row],[DP]],$W$9)&gt;ROUND(Main[[#This Row],[Use UCL]]-Main[[#This Row],[Use Sigma]],$W$9),ROUND(Main[[#This Row],[DP]],$W$9)&lt;ROUND(Main[[#This Row],[Use LCL]]+Main[[#This Row],[Use Sigma]],$W$9)),"over2S",""))</f>
        <v>#VALUE!</v>
      </c>
      <c r="BK20" s="2" t="e">
        <f ca="1">IF(AND(MAX(IF(ISERROR(OFFSET(Main[[#This Row],[2of3 close to limit]],-2,-1,3,1)),0,COUNTIFS(OFFSET(Main[[#This Row],[2of3 close to limit]],-2,-1,3,1),"*2S",OFFSET(Main[[#This Row],[Range]],-2,0,3,1),Main[[#This Row],[Range]])),COUNTIFS(OFFSET(Main[[#This Row],[2of3 close to limit]],-1,-1,3,1),"*2S",OFFSET(Main[[#This Row],[Range]],-1,0,3,1),Main[[#This Row],[Range]]),COUNTIFS(OFFSET(Main[[#This Row],[2of3 close to limit]],0,-1,3,1),"*2S",OFFSET(Main[[#This Row],[Range]],0,0,3,1),Main[[#This Row],[Range]]))&gt;=2,Main[[#This Row],[Over 2Sigma]]="over2S"),Main[[#This Row],[DP]],"")</f>
        <v>#VALUE!</v>
      </c>
      <c r="BL20" s="2" t="e">
        <f ca="1">IF(ROW(Main[])=ROW(),"", IF(OFFSET(Main[[#This Row],[first trend up or down]],-1,0)&lt;&gt;"",OFFSET(Main[[#This Row],[first trend up or down]],-1,0),IF(ROUND(Main[[#This Row],[DP]],$W$9)=ROUND(OFFSET(Main[[#This Row],[DP]],-1,0),$W$9),"",IF(ROUND(Main[[#This Row],[DP]],$W$9)&gt;ROUND(OFFSET(Main[[#This Row],[DP]],-1,0),$W$9),1,"d"))))</f>
        <v>#VALUE!</v>
      </c>
      <c r="BM20" s="2" t="e">
        <f ca="1">IF(OR(Main[[#This Row],[missingv]]="missing",OFFSET(Main[[#This Row],[missingv]],-1,0)="missing"),"",IF(ROW(Main[])=ROW(),"",IF(ROUND(Main[[#This Row],[DP]],$W$9)=ROUND(OFFSET(Main[[#This Row],[DP]],-1,0),$W$9),CONCATENATE("Equal",Main[[#This Row],[Range for limits]]),IF(ROUND(Main[[#This Row],[DP]],$W$9)&gt;ROUND(OFFSET(Main[[#This Row],[DP]],-1,0),$W$9),CONCATENATE("Up",Main[[#This Row],[Range for limits]]),CONCATENATE("Down",Main[[#This Row],[Range for limits]])))))</f>
        <v>#VALUE!</v>
      </c>
      <c r="BN20" s="2" t="e">
        <f ca="1">IF(ROW(Main[])=ROW(),
 IF(_xlfn.STDEV.P(Main[DP])=0,"no trend",CONCATENATE(1,IF(SUM(Main[first trend up or down])&gt;=1,"U","D"),"R1T1")),
IF(Main[[#This Row],[Range]]=OFFSET(Main[[#This Row],[Range]],-1,0),
IF(OR(COUNTIF(Main[[#This Row],[trend for 6up or down ignoring equal1]],"*Equal*")=1,Main[[#This Row],[trend for 6up or down ignoring equal1]]=""),OFFSET(Main[[#This Row],[step 2 for 6 up or down v1]],-1,0),
IF(Main[[#This Row],[trend for 6up or down ignoring equal1]]=OFFSET(Main[[#This Row],[trend for 6up or down ignoring equal1]],-1,0),
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IF(COUNTIF(OFFSET(Main[[#This Row],[step 2 for 6 up or down v1]],-1,0),"*"&amp;LEFT(Main[[#This Row],[trend for 6up or down ignoring equal1]],1)&amp;"*")=1,CONCATENATE(LEFT(OFFSET(Main[[#This Row],[step 2 for 6 up or down v1]],-1,0),FIND("R",OFFSET(Main[[#This Row],[step 2 for 6 up or down v1]],-1,0))-2)+1,LEFT(Main[[#This Row],[trend for 6up or down ignoring equal1]],1),Main[[#This Row],[Range]],RIGHT(OFFSET(Main[[#This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CONCATENATE(1,LEFT(Main[[#This Row],[trend for 6up or down ignoring equal1]],1),Main[[#This Row],[Range]],"T",RIGHT(OFFSET(Main[[#This Row],[step 2 for 6 up or down v1]],-1,0),LEN(OFFSET(Main[[#This Row],[step 2 for 6 up or down v1]],-1,0))-FIND("T",OFFSET(Main[[#This Row],[step 2 for 6 up or down v1]],-1,0)))+1)
))</f>
        <v>#VALUE!</v>
      </c>
      <c r="BO20" s="2" t="e">
        <f ca="1">IF(RIGHT(Main[[#This Row],[step 2 for 6 up or down v1]],2)="T1",IF(COUNTIF(Main[step 2 for 6 up or down v1],"6"&amp;RIGHT(Main[[#This Row],[step 2 for 6 up or down v1]],LEN(Main[[#This Row],[step 2 for 6 up or down v1]])-FIND("R",Main[[#This Row],[step 2 for 6 up or down v1]])+2))=1,Main[[#This Row],[DP]],""),
IF(OR(COUNTIF(Main[step 2 for 6 up or down v1],"5"&amp;RIGHT(Main[[#This Row],[step 2 for 6 up or down v1]],LEN(Main[[#This Row],[step 2 for 6 up or down v1]])-FIND("R",Main[[#This Row],[step 2 for 6 up or down v1]])+2))=1,COUNTIF(Main[step 2 for 6 up or down v1],"5"&amp;RIGHT(OFFSET(Main[[#This Row],[step 2 for 6 up or down v1]],1,0),LEN(OFFSET(Main[[#This Row],[step 2 for 6 up or down v1]],1,0))-FIND("R",OFFSET(Main[[#This Row],[step 2 for 6 up or down v1]],1,0))+2))=1),Main[[#This Row],[DP]],""))</f>
        <v>#VALUE!</v>
      </c>
      <c r="BP20" s="2" t="e">
        <f ca="1">IF(ROW(Main[])=ROW(),"",IF(Main[[#This Row],[first trend up or down]]="","",IF(OFFSET(Main[[#This Row],[trend for 6up or down ignoring equal2]],-1,0)="",IF(Main[[#This Row],[first trend up or down]]="d","Down","Up"),IF(ROUND(Main[[#This Row],[DP]],$W$9)=ROUND(OFFSET(Main[[#This Row],[DP]],-1,0),$W$9),"Equal",IF(ROUND(Main[[#This Row],[DP]],$W$9)&gt;ROUND(OFFSET(Main[[#This Row],[DP]],-1,0),$W$9),"Up","Down")))))</f>
        <v>#VALUE!</v>
      </c>
      <c r="BQ20" s="2" t="e">
        <f ca="1">IF(ROW(Main[])=ROW(),IF(_xlfn.STDEV.P(Main[DP])=0,"no trend",CONCATENATE(1,IF(SUM(Main[first trend up or down])&gt;=1,"U","D"),"T1")),
IF(OR(Main[[#This Row],[trend for 6up or down ignoring equal2]]="Equal",Main[[#This Row],[trend for 6up or down ignoring equal2]]=""),OFFSET(Main[[#This Row],[step 2 for 6 up or down v2]],-1,0),
IF(Main[[#This Row],[trend for 6up or down ignoring equal2]]=OFFSET(Main[[#This Row],[trend for 6up or down ignoring equal2]],-1,0),
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IF(COUNTIF(OFFSET(Main[[#This Row],[step 2 for 6 up or down v2]],-1,0),"*"&amp;LEFT(Main[[#This Row],[trend for 6up or down ignoring equal2]],1)&amp;"*")=1,CONCATENATE(LEFT(OFFSET(Main[[#This Row],[step 2 for 6 up or down v2]],-1,0),FIND("T",OFFSET(Main[[#This Row],[step 2 for 6 up or down v2]],-1,0))-2)+1,LEFT(Main[[#This Row],[trend for 6up or down ignoring equal2]],1),RIGHT(OFFSET(Main[[#This Row],[step 2 for 6 up or down v2]],-1,0),LEN(OFFSET(Main[[#This Row],[step 2 for 6 up or down v2]],-1,0))-FIND("T",OFFSET(Main[[#This Row],[step 2 for 6 up or down v2]],-1,0))+1)),
CONCATENATE(1,LEFT(Main[[#This Row],[trend for 6up or down ignoring equal2]],1),"T",RIGHT(OFFSET(Main[[#This Row],[step 2 for 6 up or down v2]],-1,0),LEN(OFFSET(Main[[#This Row],[step 2 for 6 up or down v2]],-1,0))-FIND("T",OFFSET(Main[[#This Row],[step 2 for 6 up or down v2]],-1,0)))+1)))))</f>
        <v>#VALUE!</v>
      </c>
      <c r="BR20" s="2" t="e">
        <f ca="1">IF(RIGHT(Main[[#This Row],[step 2 for 6 up or down v2]],2)="T1",IF(COUNTIF(Main[step 2 for 6 up or down v2],"6"&amp;RIGHT(Main[[#This Row],[step 2 for 6 up or down v2]],LEN(Main[[#This Row],[step 2 for 6 up or down v2]])-FIND("T",Main[[#This Row],[step 2 for 6 up or down v2]])+2))=1,Main[[#This Row],[DP]],""),
IF(OR(COUNTIF(Main[step 2 for 6 up or down v2],"5"&amp;RIGHT(Main[[#This Row],[step 2 for 6 up or down v2]],LEN(Main[[#This Row],[step 2 for 6 up or down v2]])-FIND("T",Main[[#This Row],[step 2 for 6 up or down v2]])+2))=1,COUNTIF(Main[step 2 for 6 up or down v2],"5"&amp;RIGHT(OFFSET(Main[[#This Row],[step 2 for 6 up or down v2]],1,0),LEN(OFFSET(Main[[#This Row],[step 2 for 6 up or down v2]],1,0))-FIND("T",OFFSET(Main[[#This Row],[step 2 for 6 up or down v2]],1,0))+2))=1),Main[[#This Row],[DP]],""))</f>
        <v>#VALUE!</v>
      </c>
      <c r="BS20" s="2" t="e">
        <f ca="1">IF(OR($T$11=1,COUNTIF(Main[6up or down v2],#VALUE!)&gt;0),Main[[#This Row],[6up or down v1]],Main[[#This Row],[6up or down v2]])</f>
        <v>#VALUE!</v>
      </c>
      <c r="BT20" s="2" t="e">
        <f ca="1">IF(AND(Main[[#This Row],[missingv]]="missing",Main[[#This Row],[Recalc]]&lt;&gt;"Ignore missing"),"",IF(AND(Main[[#This Row],[missingv]]="missing",Main[[#This Row],[Recalc]]="Ignore missing"),OFFSET(Main[[#This Row],[position vs CL]],-1,0),IF(ROUND(Main[[#This Row],[DP]],$W$9)&gt;ROUND(Main[Use Mean],$W$9),CONCATENATE("aCL",Main[[#This Row],[Range]]),IF(ROUND(Main[[#This Row],[DP]],$W$9)&lt;ROUND(Main[[#This Row],[Use Mean]],$W$9),CONCATENATE("bCL",Main[[#This Row],[Range]]),CONCATENATE("CL",Main[[#This Row],[Range]])))))</f>
        <v>#VALUE!</v>
      </c>
      <c r="BU20" s="2" t="e">
        <f ca="1">IF(AND(Main[[#This Row],[missingv]]="missing",Main[[#This Row],[Recalc]]="Ignore missing"),OFFSET(Main[[#This Row],[grouping vs CL]],-1,0),IF(ROW(Main[])=ROW(),CONCATENATE(1,IF(LEFT(Main[[#This Row],[position vs CL]],1)="C","",LEFT(Main[[#This Row],[position vs CL]],1)),Main[[#This Row],[Range]],"G1"),
IF(Main[[#This Row],[position vs CL]]="",CONCATENATE(1,Main[[#This Row],[Range]],"G",RIGHT(OFFSET(Main[[#This Row],[grouping vs CL]],-1,0),LEN(OFFSET(Main[[#This Row],[grouping vs CL]],-1,0))-FIND("G",OFFSET(Main[[#This Row],[grouping vs CL]],-1,0)))+1),
IF(Main[[#This Row],[Range]]=OFFSET(Main[[#This Row],[Range]],-1,0),IF(LEFT(Main[[#This Row],[position vs CL]],2)="CL",OFFSET(Main[[#This Row],[grouping vs CL]],-1,0),
IF(OR(Main[[#This Row],[position vs CL]]=OFFSET(Main[[#This Row],[position vs CL]],-1,0),COUNTIF(OFFSET(Main[[#This Row],[grouping vs CL]],-1,0),"*"&amp;LEFT(Main[[#This Row],[position vs CL]],1)&amp;"*")=1),CONCATENATE(LEFT(OFFSET(Main[[#This Row],[grouping vs CL]],-1,0),FIND("G",OFFSET(Main[[#This Row],[grouping vs CL]],-1,0))-4)+1,LEFT(Main[[#This Row],[position vs CL]],1),Main[[#This Row],[Range]],RIGHT(OFFSET(Main[[#This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
IF(LEFT(Main[[#This Row],[position vs CL]],1)="C",CONCATENATE("c",Main[[#This Row],[Range]],"G",RIGHT(OFFSET(Main[[#This Row],[grouping vs CL]],-1,0),LEN(OFFSET(Main[[#This Row],[grouping vs CL]],-1,0))-FIND("G",OFFSET(Main[[#This Row],[grouping vs CL]],-1,0)))+1),
CONCATENATE(1,LEFT(Main[[#This Row],[position vs CL]],1),Main[[#This Row],[Range]],"G",RIGHT(OFFSET(Main[[#This Row],[grouping vs CL]],-1,0),LEN(OFFSET(Main[[#This Row],[grouping vs CL]],-1,0))-FIND("G",OFFSET(Main[[#This Row],[grouping vs CL]],-1,0)))+1))))))</f>
        <v>#VALUE!</v>
      </c>
      <c r="BV20" s="2" t="str">
        <f ca="1">IF(COUNTIF(Main[grouping vs CL],"8"&amp;RIGHT(Main[[#This Row],[grouping vs CL]],LEN(Main[[#This Row],[grouping vs CL]])-FIND("G",Main[[#This Row],[grouping vs CL]])+4))&gt;0,Main[[#This Row],[DP]],"")</f>
        <v/>
      </c>
      <c r="BW20" s="2" t="e">
        <f>IF(Main[[#This Row],[missingv]]="missing","",IF(AND(ROUND(Main[[#This Row],[DP]],$W$9)&gt;Main[[#This Row],[Use Mean]]-Main[[#This Row],[Use Sigma]],ROUND(Main[[#This Row],[DP]],$W$9)&lt;Main[[#This Row],[Use Mean]]+Main[[#This Row],[Use Sigma]]),"close","far"))</f>
        <v>#VALUE!</v>
      </c>
      <c r="BX20" s="2" t="e">
        <f ca="1">IF(ROW(Main[])=ROW(),CONCATENATE(1,LEFT(Main[[#This Row],[close to CL]]),Main[[#This Row],[Range]],"H1"),IF(Main[[#This Row],[Range]]=OFFSET(Main[[#This Row],[Range]],-1,0),IF(Main[[#This Row],[close to CL]]=OFFSET(Main[[#This Row],[close to CL]],-1,0),CONCATENATE(LEFT(OFFSET(Main[[#This Row],[15 hugging]],-1,0),FIND("H",OFFSET(Main[[#This Row],[15 hugging]],-1,0))-4)+1,LEFT(Main[[#This Row],[close to CL]],1),Main[[#This Row],[Range]],RIGHT(OFFSET(Main[[#This Row],[15 hugging]],-1,0),LEN(OFFSET(Main[[#This Row],[15 hugging]],-1,0))-FIND("H",OFFSET(Main[[#This Row],[15 hugging]],-1,0))+1)),
CONCATENATE(1,LEFT(Main[[#This Row],[close to CL]]),Main[[#This Row],[Range]],"H",RIGHT(OFFSET(Main[[#This Row],[15 hugging]],-1,0),LEN(OFFSET(Main[[#This Row],[15 hugging]],-1,0))-FIND("H",OFFSET(Main[[#This Row],[15 hugging]],-1,0)))+1)),
CONCATENATE(1,LEFT(Main[[#This Row],[close to CL]]),Main[[#This Row],[Range]],"H",RIGHT(OFFSET(Main[[#This Row],[15 hugging]],-1,0),LEN(OFFSET(Main[[#This Row],[15 hugging]],-1,0))-FIND("H",OFFSET(Main[[#This Row],[15 hugging]],-1,0)))+1)))</f>
        <v>#VALUE!</v>
      </c>
      <c r="BY20" s="2" t="str">
        <f ca="1">IF(COUNTIFS(Main[15 hugging],"15"&amp;RIGHT(Main[[#This Row],[15 hugging]],LEN(Main[[#This Row],[15 hugging]])-FIND("H",Main[[#This Row],[15 hugging]])+4),Main[15 hugging],"*c*")&gt;0,Main[[#This Row],[DP]],"")</f>
        <v/>
      </c>
      <c r="BZ20" s="2" t="str">
        <f>IF(ISERROR(Main[[#This Row],[Pink]]),"",IF(Main[[#This Row],[Pink]]="","",CONCATENATE("R ",IF(Main[[#This Row],[Pink]]=Main[[#This Row],[Ab/below]],"1, ",""),IF(OR($AD$4=1,$AD$5=1,$AD$6=1),"",CONCATENATE(IF(Main[[#This Row],[Pink]]=Main[[#This Row],[2of3 close to limit]],"2, ",""),IF(Main[[#This Row],[Pink]]=Main[[#This Row],[final 6 up or down]],"3, ",""),IF(Main[[#This Row],[Pink]]=Main[[#This Row],[8 above or below CL]],"4, ",""),IF(Main[[#This Row],[Pink]]=Main[[#This Row],[15 close CL]],"5, ",""))))))</f>
        <v/>
      </c>
      <c r="CA20" s="72" t="e">
        <f>IF(Main[[#This Row],[missingv]]="missing",NA(),IF(AND(OR($AD$4=1,$AD$5=1,$AD$6=1),Main[[#This Row],[Ab/below]]=Main[[#This Row],[DP]]),Main[[#This Row],[DP]],IF(AND(OR(ISNUMBER(Main[[#This Row],[Ab/below]]),ISNUMBER(Main[[#This Row],[2of3 close to limit]]),ISNUMBER(Main[[#This Row],[final 6 up or down]]),ISNUMBER(Main[[#This Row],[8 above or below CL]]),ISNUMBER(Main[[#This Row],[15 close CL]])),MAX(Main[[#This Row],[Ab/below]],Main[[#This Row],[2of3 close to limit]],Main[[#This Row],[final 6 up or down]],Main[[#This Row],[8 above or below CL]],Main[[#This Row],[15 close CL]])=Main[[#This Row],[DP]]),Main[[#This Row],[DP]],NA())))</f>
        <v>#VALUE!</v>
      </c>
      <c r="CB20" s="74"/>
      <c r="CC20" s="74" t="e">
        <f>IF(Main[[#This Row],[Add pink]]&lt;&gt;"Add Pink",NA(),Main[[#This Row],[DP]])</f>
        <v>#N/A</v>
      </c>
      <c r="CD20" s="74"/>
      <c r="CE20" s="74" t="e">
        <f>IF(Main[[#This Row],[Add blue]]&lt;&gt;"Add Blue",NA(),Main[[#This Row],[DP]])</f>
        <v>#N/A</v>
      </c>
      <c r="CF20" s="72" t="e">
        <f>IF($Q$4=1,IF(Main[[#This Row],[missingv]]="missing",NA(),Main[[#This Row],[DP]]),NA())</f>
        <v>#N/A</v>
      </c>
      <c r="CG20" s="72" t="e">
        <f>IF($Q$5=1,IF(Main[[#This Row],[missingv]]="missing",NA(),Main[[#This Row],[DP]]),NA())</f>
        <v>#N/A</v>
      </c>
      <c r="CH20" s="86" t="str">
        <f>IF(OR($Q$4=1,$Q$5=1),IF(Main[[#This Row],[missingv]]="missing",NA(),Main[[#This Row],[Use Mean]]),"")</f>
        <v/>
      </c>
      <c r="CI20" s="86" t="str">
        <f>IF(OR($Q$4=1,$Q$5=1),IF(Main[[#This Row],[missingv]]="missing",NA(),Main[[#This Row],[Use LCL]]),"")</f>
        <v/>
      </c>
      <c r="CJ20" s="86" t="str">
        <f>IF(OR($Q$4=1,$Q$5=1),IF(Main[[#This Row],[missingv]]="missing",NA(),Main[[#This Row],[Use UCL]]),"")</f>
        <v/>
      </c>
      <c r="CK20" s="95">
        <f t="shared" ref="CK20" si="2">IF(OR($AD$4=1,$AD$5=1,$AD$6=1),NA(),IF(ISNUMBER($CK$16),$CK$16,NA()))</f>
        <v>2</v>
      </c>
      <c r="CL20" s="74">
        <f>IF(ROW()=ROW(Main[])+ROWS(Main[])-1,Main[[#This Row],[Targ.]],NA())</f>
        <v>2</v>
      </c>
      <c r="CM20" s="74" t="str">
        <f>IF(ROW()=ROW(Main[])+ROWS(Main[])-1,Main[[#This Row],[CL graph]],NA())</f>
        <v/>
      </c>
      <c r="CN20" s="79">
        <f>IF(COUNTIF(Main[Pink],"#VALUE!")&gt;0,100%,0)</f>
        <v>1</v>
      </c>
      <c r="CO20" s="72" t="e">
        <f>IF(AND($Q$4=1,OR($AG$2=1,$AG$4=1),Main[[#This Row],[Ext range]]="extend"),IF(Main[[#This Row],[missingv]]="missing",NA(),Main[[#This Row],[Use LCL]]),NA())</f>
        <v>#N/A</v>
      </c>
      <c r="CP20" s="72" t="e">
        <f>IF(AND($Q$4=1,OR($AG$2=1,$AG$4=1),Main[[#This Row],[Ext range]]="extend"),IF(Main[[#This Row],[missingv]]="missing",NA(),Main[[#This Row],[Use UCL]]),NA())</f>
        <v>#N/A</v>
      </c>
    </row>
    <row r="25" spans="1:94" x14ac:dyDescent="0.25">
      <c r="CF25" s="120"/>
      <c r="CG25" s="120"/>
      <c r="CH25" s="120"/>
      <c r="CI25" s="120"/>
      <c r="CJ25" s="120"/>
      <c r="CK25" s="120"/>
      <c r="CL25" s="120"/>
    </row>
    <row r="26" spans="1:94" x14ac:dyDescent="0.25">
      <c r="CF26" s="122"/>
      <c r="CG26" s="122"/>
      <c r="CH26" s="122"/>
      <c r="CI26" s="122"/>
      <c r="CJ26" s="122"/>
      <c r="CK26" s="122"/>
      <c r="CL26" s="122"/>
    </row>
    <row r="27" spans="1:94" x14ac:dyDescent="0.25">
      <c r="CF27" s="122"/>
      <c r="CG27" s="122"/>
      <c r="CH27" s="122"/>
      <c r="CI27" s="122"/>
      <c r="CJ27" s="122"/>
      <c r="CK27" s="122"/>
      <c r="CL27" s="122"/>
    </row>
    <row r="28" spans="1:94" x14ac:dyDescent="0.25">
      <c r="CF28" s="122"/>
      <c r="CG28" s="122"/>
      <c r="CH28" s="122"/>
      <c r="CI28" s="122"/>
      <c r="CJ28" s="123"/>
      <c r="CK28" s="122"/>
      <c r="CL28" s="122"/>
    </row>
    <row r="29" spans="1:94" x14ac:dyDescent="0.25">
      <c r="CF29" s="122"/>
      <c r="CG29" s="122"/>
      <c r="CH29" s="122"/>
      <c r="CI29" s="122"/>
      <c r="CJ29" s="122"/>
      <c r="CK29" s="122"/>
      <c r="CL29" s="122"/>
    </row>
    <row r="30" spans="1:94" x14ac:dyDescent="0.25">
      <c r="CF30" s="120"/>
      <c r="CG30" s="120"/>
      <c r="CH30" s="120"/>
      <c r="CI30" s="120"/>
      <c r="CJ30" s="120"/>
      <c r="CK30" s="120"/>
      <c r="CL30" s="122"/>
    </row>
    <row r="31" spans="1:94" x14ac:dyDescent="0.25">
      <c r="CF31" s="122"/>
      <c r="CG31" s="122"/>
      <c r="CH31" s="122"/>
      <c r="CI31" s="122"/>
      <c r="CJ31" s="122"/>
      <c r="CK31" s="122"/>
      <c r="CL31" s="122"/>
    </row>
    <row r="32" spans="1:94" x14ac:dyDescent="0.25">
      <c r="CF32" s="122"/>
      <c r="CG32" s="122"/>
      <c r="CH32" s="122"/>
      <c r="CI32" s="122"/>
      <c r="CJ32" s="122"/>
      <c r="CK32" s="122"/>
      <c r="CL32" s="122"/>
    </row>
  </sheetData>
  <mergeCells count="23">
    <mergeCell ref="CO17:CP17"/>
    <mergeCell ref="CK10:CK11"/>
    <mergeCell ref="CK5:CK7"/>
    <mergeCell ref="CK3:CK4"/>
    <mergeCell ref="CL17:CM17"/>
    <mergeCell ref="G3:H3"/>
    <mergeCell ref="E10:G11"/>
    <mergeCell ref="C6:F6"/>
    <mergeCell ref="A16:D16"/>
    <mergeCell ref="E16:F16"/>
    <mergeCell ref="G16:H16"/>
    <mergeCell ref="K16:N17"/>
    <mergeCell ref="A8:B9"/>
    <mergeCell ref="C8:D9"/>
    <mergeCell ref="E8:G9"/>
    <mergeCell ref="F4:I5"/>
    <mergeCell ref="H6:J15"/>
    <mergeCell ref="A12:B13"/>
    <mergeCell ref="C12:G13"/>
    <mergeCell ref="A10:B11"/>
    <mergeCell ref="C10:D11"/>
    <mergeCell ref="E14:G14"/>
    <mergeCell ref="A14:B14"/>
  </mergeCells>
  <conditionalFormatting sqref="A5:D5">
    <cfRule type="expression" dxfId="142" priority="58">
      <formula>AND($A$5="yes",OR($B$5="yes",$C$5="yes",$D$5="yes"))</formula>
    </cfRule>
  </conditionalFormatting>
  <conditionalFormatting sqref="D5">
    <cfRule type="expression" dxfId="141" priority="49">
      <formula>AND($A$5&lt;&gt;"yes",$B$5="yes",$C$5="yes",$D$5="yes",ISNUMBER($E$5),$E$5&lt;&gt;0)</formula>
    </cfRule>
    <cfRule type="expression" dxfId="140" priority="57">
      <formula>AND($D$5="yes",OR(NOT(ISNUMBER($E$5)),$E$5=0))</formula>
    </cfRule>
  </conditionalFormatting>
  <conditionalFormatting sqref="E4:E5">
    <cfRule type="expression" dxfId="139" priority="56">
      <formula>AND($D$5="yes",$A$5&lt;&gt;"yes")</formula>
    </cfRule>
  </conditionalFormatting>
  <conditionalFormatting sqref="E8">
    <cfRule type="expression" dxfId="138" priority="54">
      <formula>NOT(ISBLANK($E$8))</formula>
    </cfRule>
  </conditionalFormatting>
  <conditionalFormatting sqref="E10">
    <cfRule type="expression" dxfId="137" priority="53">
      <formula>NOT(ISBLANK($E$10))</formula>
    </cfRule>
  </conditionalFormatting>
  <conditionalFormatting sqref="B5:D5">
    <cfRule type="expression" dxfId="136" priority="48">
      <formula>AND($A$5="yes",$B$5&lt;&gt;"yes",$C$5&lt;&gt;"yes",$D$5&lt;&gt;"yes")</formula>
    </cfRule>
    <cfRule type="expression" dxfId="135" priority="52">
      <formula>AND($A$5&lt;&gt;"yes",CONCATENATE($B$5,$C$5)&lt;&gt;"yesyes",OR($B$5="yes",$C$5="yes",$D$5="yes"))</formula>
    </cfRule>
  </conditionalFormatting>
  <conditionalFormatting sqref="A5">
    <cfRule type="expression" dxfId="134" priority="47">
      <formula>AND($A$5&lt;&gt;"yes",$B$5="yes",$C$5="yes",OR($D$5&lt;&gt;"yes",AND($D$5="yes",ISNUMBER($E$5),$E$5&lt;&gt;0)))</formula>
    </cfRule>
    <cfRule type="expression" dxfId="133" priority="51">
      <formula>AND($A$5="yes",$B$5&lt;&gt;"yes",$C$5&lt;&gt;"yes",$D$5&lt;&gt;"yes")</formula>
    </cfRule>
  </conditionalFormatting>
  <conditionalFormatting sqref="B5:C5">
    <cfRule type="expression" dxfId="132" priority="50">
      <formula>AND($A$5&lt;&gt;"yes",$B$5="yes",$C$5="yes",OR($D$5&lt;&gt;"yes",AND($D$5="yes",ISNUMBER($E$5),$E$5&lt;&gt;0)))</formula>
    </cfRule>
  </conditionalFormatting>
  <conditionalFormatting sqref="B17:E17">
    <cfRule type="expression" dxfId="131" priority="46">
      <formula>$AA$2=1</formula>
    </cfRule>
  </conditionalFormatting>
  <conditionalFormatting sqref="B17">
    <cfRule type="expression" dxfId="130" priority="45">
      <formula>B17&lt;&gt;""</formula>
    </cfRule>
  </conditionalFormatting>
  <conditionalFormatting sqref="C17:D17">
    <cfRule type="expression" dxfId="129" priority="44">
      <formula>C17&lt;&gt;""</formula>
    </cfRule>
  </conditionalFormatting>
  <conditionalFormatting sqref="A15">
    <cfRule type="expression" dxfId="128" priority="43">
      <formula>$A$15&lt;&gt;""</formula>
    </cfRule>
  </conditionalFormatting>
  <conditionalFormatting sqref="G3:H3">
    <cfRule type="notContainsBlanks" dxfId="127" priority="41">
      <formula>LEN(TRIM(G3))&gt;0</formula>
    </cfRule>
  </conditionalFormatting>
  <conditionalFormatting sqref="G19:G20">
    <cfRule type="expression" dxfId="126" priority="40">
      <formula>AND(G19="Ignore missing",H19="")</formula>
    </cfRule>
  </conditionalFormatting>
  <conditionalFormatting sqref="BM17:BO17">
    <cfRule type="expression" dxfId="125" priority="39">
      <formula>$T$11=0</formula>
    </cfRule>
  </conditionalFormatting>
  <conditionalFormatting sqref="BP17:BR17 BT17:CF17">
    <cfRule type="expression" dxfId="124" priority="38">
      <formula>$T$11=1</formula>
    </cfRule>
  </conditionalFormatting>
  <conditionalFormatting sqref="CA19:CD20">
    <cfRule type="expression" dxfId="123" priority="37">
      <formula>ISNUMBER(CA19)</formula>
    </cfRule>
  </conditionalFormatting>
  <conditionalFormatting sqref="CG17">
    <cfRule type="expression" dxfId="122" priority="35">
      <formula>$Q$4=1</formula>
    </cfRule>
    <cfRule type="expression" dxfId="121" priority="36">
      <formula>$T$11=1</formula>
    </cfRule>
  </conditionalFormatting>
  <conditionalFormatting sqref="CF17">
    <cfRule type="expression" dxfId="120" priority="34">
      <formula>$Q$5=1</formula>
    </cfRule>
  </conditionalFormatting>
  <conditionalFormatting sqref="CK5:CK7">
    <cfRule type="notContainsBlanks" dxfId="119" priority="33">
      <formula>LEN(TRIM(CK5))&gt;0</formula>
    </cfRule>
  </conditionalFormatting>
  <conditionalFormatting sqref="CB19:CB20">
    <cfRule type="notContainsBlanks" dxfId="118" priority="32">
      <formula>LEN(TRIM(CB19))&gt;0</formula>
    </cfRule>
  </conditionalFormatting>
  <conditionalFormatting sqref="CD19:CD20">
    <cfRule type="notContainsBlanks" dxfId="117" priority="31">
      <formula>LEN(TRIM(CD19))&gt;0</formula>
    </cfRule>
  </conditionalFormatting>
  <conditionalFormatting sqref="C14:D14">
    <cfRule type="expression" dxfId="116" priority="27">
      <formula>$C$14=""</formula>
    </cfRule>
  </conditionalFormatting>
  <conditionalFormatting sqref="CN17">
    <cfRule type="expression" dxfId="115" priority="26">
      <formula>OFFSET($CN$17,2,0)=0</formula>
    </cfRule>
  </conditionalFormatting>
  <conditionalFormatting sqref="A14:D14">
    <cfRule type="expression" dxfId="114" priority="61">
      <formula>$Q$9=0</formula>
    </cfRule>
  </conditionalFormatting>
  <conditionalFormatting sqref="CL19:CM19">
    <cfRule type="containsErrors" dxfId="113" priority="24">
      <formula>ISERROR(CL19)</formula>
    </cfRule>
  </conditionalFormatting>
  <conditionalFormatting sqref="CF19:CG20 CC19:CC20 CA19:CA20 CK19:CK20">
    <cfRule type="containsErrors" dxfId="112" priority="23">
      <formula>ISERROR(CA19)</formula>
    </cfRule>
  </conditionalFormatting>
  <conditionalFormatting sqref="CE19:CE20">
    <cfRule type="containsErrors" dxfId="111" priority="19">
      <formula>ISERROR(CE19)</formula>
    </cfRule>
    <cfRule type="expression" dxfId="110" priority="20">
      <formula>ISNUMBER(CE19)</formula>
    </cfRule>
  </conditionalFormatting>
  <conditionalFormatting sqref="H6:J15">
    <cfRule type="notContainsBlanks" dxfId="109" priority="16">
      <formula>LEN(TRIM(H6))&gt;0</formula>
    </cfRule>
  </conditionalFormatting>
  <conditionalFormatting sqref="BD19:BX20">
    <cfRule type="containsErrors" dxfId="108" priority="14">
      <formula>ISERROR(BD19)</formula>
    </cfRule>
  </conditionalFormatting>
  <conditionalFormatting sqref="CD11:CI14">
    <cfRule type="expression" dxfId="107" priority="13">
      <formula>AND(ROW(CD11)&gt;=11,ROW(CD11)&lt;=14,COLUMN(CD11)&gt;=82,COLUMN(CD11)&lt;=87)</formula>
    </cfRule>
  </conditionalFormatting>
  <conditionalFormatting sqref="CJ28">
    <cfRule type="expression" dxfId="106" priority="12">
      <formula>AND(ROW(CJ28)&gt;=11,ROW(CJ28)&lt;=14,COLUMN(CJ28)&gt;=82,COLUMN(CJ28)&lt;=87)</formula>
    </cfRule>
  </conditionalFormatting>
  <conditionalFormatting sqref="CF30:CK30">
    <cfRule type="expression" dxfId="105" priority="11">
      <formula>AND(ROW(CF30)&gt;=11,ROW(CF30)&lt;=14,COLUMN(CF30)&gt;=82,COLUMN(CF30)&lt;=87)</formula>
    </cfRule>
  </conditionalFormatting>
  <conditionalFormatting sqref="CD14">
    <cfRule type="expression" dxfId="104" priority="10">
      <formula>AND(ROW(CD14)=14,COLUMN(CD14)=82)</formula>
    </cfRule>
  </conditionalFormatting>
  <conditionalFormatting sqref="CF25:CL25">
    <cfRule type="expression" dxfId="103" priority="9">
      <formula>AND(ROW(CF25)&gt;=11,ROW(CF25)&lt;=14,COLUMN(CF25)&gt;=82,COLUMN(CF25)&lt;=87)</formula>
    </cfRule>
  </conditionalFormatting>
  <conditionalFormatting sqref="CF25:CL25">
    <cfRule type="expression" dxfId="102" priority="8">
      <formula>AND(ROW(CF25)=14,COLUMN(CF25)=82)</formula>
    </cfRule>
  </conditionalFormatting>
  <conditionalFormatting sqref="E17">
    <cfRule type="expression" dxfId="101" priority="6">
      <formula>OR($D$5&lt;&gt;"yes",NOT(ISNUMBER($E$5)),$T$8&lt;&gt;2)</formula>
    </cfRule>
  </conditionalFormatting>
  <conditionalFormatting sqref="CO19:CP20">
    <cfRule type="containsErrors" dxfId="100" priority="5">
      <formula>ISERROR(CO19)</formula>
    </cfRule>
  </conditionalFormatting>
  <conditionalFormatting sqref="CK19:CK20">
    <cfRule type="cellIs" dxfId="99" priority="1" operator="greaterThanOrEqual">
      <formula>1</formula>
    </cfRule>
    <cfRule type="cellIs" dxfId="98" priority="2" operator="lessThan">
      <formula>1</formula>
    </cfRule>
  </conditionalFormatting>
  <dataValidations count="11">
    <dataValidation type="list" allowBlank="1" showInputMessage="1" showErrorMessage="1" sqref="A5:D5">
      <formula1>"yes, "</formula1>
    </dataValidation>
    <dataValidation type="list" allowBlank="1" showInputMessage="1" showErrorMessage="1" sqref="C8">
      <formula1>"Month, Week, Day, Hospital, CHO, HG"</formula1>
    </dataValidation>
    <dataValidation type="list" allowBlank="1" showInputMessage="1" showErrorMessage="1" sqref="C10">
      <formula1>"Number, Percentage, Rate"</formula1>
    </dataValidation>
    <dataValidation type="list" allowBlank="1" showInputMessage="1" showErrorMessage="1" sqref="G3:H3">
      <formula1>"P Chart,P Prime Chart,U Chart,C Chart,I Chart,P Funnel,P Prime Funnel,U Funnel"</formula1>
    </dataValidation>
    <dataValidation type="list" allowBlank="1" showInputMessage="1" showErrorMessage="1" sqref="C6:F6">
      <formula1>INDIRECT("decimal[scenarios]")</formula1>
    </dataValidation>
    <dataValidation type="list" allowBlank="1" showInputMessage="1" showErrorMessage="1" sqref="F14:G15 E14">
      <formula1>"Range change doesn't break Trend 6up/down (default),Break trend 6up/down when Range changes"</formula1>
    </dataValidation>
    <dataValidation type="list" allowBlank="1" showInputMessage="1" showErrorMessage="1" sqref="A14:B14">
      <formula1>"Calculated limits and CL (default),Extend limits after min number"</formula1>
    </dataValidation>
    <dataValidation type="list" allowBlank="1" showInputMessage="1" showErrorMessage="1" sqref="G19:G20">
      <formula1>"Recalc,Ignore Missing"</formula1>
    </dataValidation>
    <dataValidation type="list" allowBlank="1" showInputMessage="1" showErrorMessage="1" sqref="H19:H20">
      <formula1>"missing"</formula1>
    </dataValidation>
    <dataValidation type="list" allowBlank="1" showInputMessage="1" showErrorMessage="1" sqref="CB19:CB20">
      <formula1>"Add Pink"</formula1>
    </dataValidation>
    <dataValidation type="list" allowBlank="1" showInputMessage="1" showErrorMessage="1" sqref="CD19:CD20">
      <formula1>"Add Blue"</formula1>
    </dataValidation>
  </dataValidations>
  <pageMargins left="0.7" right="0.7" top="0.75" bottom="0.75" header="0.3" footer="0.3"/>
  <pageSetup paperSize="9" orientation="portrait" r:id="rId1"/>
  <drawing r:id="rId2"/>
  <legacyDrawing r:id="rId3"/>
  <tableParts count="2">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vt:lpstr>
      <vt:lpstr>Main</vt:lpstr>
    </vt:vector>
  </TitlesOfParts>
  <Company>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Florina Rizoaica1</dc:creator>
  <cp:lastModifiedBy>Florina Rizoaica1</cp:lastModifiedBy>
  <dcterms:created xsi:type="dcterms:W3CDTF">2022-04-11T12:16:43Z</dcterms:created>
  <dcterms:modified xsi:type="dcterms:W3CDTF">2022-10-21T02:26:15Z</dcterms:modified>
</cp:coreProperties>
</file>